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Z:\PCB\6. Monitoring and Evaluation\Governance Review\2025 - tool upgrade\"/>
    </mc:Choice>
  </mc:AlternateContent>
  <xr:revisionPtr revIDLastSave="0" documentId="13_ncr:1_{64043B1A-1123-46FA-AD37-C02E5CA9C452}" xr6:coauthVersionLast="47" xr6:coauthVersionMax="47" xr10:uidLastSave="{00000000-0000-0000-0000-000000000000}"/>
  <bookViews>
    <workbookView xWindow="-120" yWindow="-120" windowWidth="29040" windowHeight="15720" xr2:uid="{00000000-000D-0000-FFFF-FFFF00000000}"/>
  </bookViews>
  <sheets>
    <sheet name="FORM " sheetId="4" r:id="rId1"/>
    <sheet name="KPIs" sheetId="6" r:id="rId2"/>
  </sheets>
  <externalReferences>
    <externalReference r:id="rId3"/>
  </externalReferences>
  <definedNames>
    <definedName name="_xlcn.WorksheetConnection_Sheet1C5D261" hidden="1">'[1]Terms and Definitions'!$E$273:$F$289</definedName>
    <definedName name="A._Board_Composition">'FORM '!$B$17</definedName>
    <definedName name="B._Directors_Registry">'FORM '!$B$33</definedName>
    <definedName name="C._BOD_and_CS_Key_Responsibilities">'FORM '!$B$42</definedName>
    <definedName name="KPIs">'FORM '!$D$81</definedName>
    <definedName name="_xlnm.Print_Area" localSheetId="0">'FORM '!$A$1:$H$333</definedName>
    <definedName name="Segment_1__The_Board">'FORM '!$B$16</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cc5e62e2-664e-4603-8716-6ba56068c699" name="Range" connection="WorksheetConnection_Sheet1!$C$5:$D$26"/>
        </x15:modelTables>
      </x15:dataModel>
    </ext>
  </extLst>
</workbook>
</file>

<file path=xl/calcChain.xml><?xml version="1.0" encoding="utf-8"?>
<calcChain xmlns="http://schemas.openxmlformats.org/spreadsheetml/2006/main">
  <c r="F78" i="4" l="1"/>
  <c r="F67" i="4"/>
  <c r="F110" i="4"/>
  <c r="F111" i="4"/>
  <c r="G111" i="4" s="1"/>
  <c r="F28" i="4"/>
  <c r="G28" i="4"/>
  <c r="F232" i="4"/>
  <c r="F233" i="4"/>
  <c r="F234" i="4"/>
  <c r="F235" i="4"/>
  <c r="F236" i="4"/>
  <c r="F237" i="4"/>
  <c r="F238" i="4"/>
  <c r="F239" i="4"/>
  <c r="F240" i="4"/>
  <c r="F241" i="4"/>
  <c r="F242" i="4"/>
  <c r="F243" i="4"/>
  <c r="F244" i="4"/>
  <c r="F245" i="4"/>
  <c r="F246" i="4"/>
  <c r="F247" i="4"/>
  <c r="F248" i="4"/>
  <c r="F249" i="4"/>
  <c r="F231" i="4"/>
  <c r="F229" i="4"/>
  <c r="F23" i="4"/>
  <c r="G23" i="4" s="1"/>
  <c r="F20" i="4"/>
  <c r="F282" i="4"/>
  <c r="F192" i="4"/>
  <c r="F191" i="4"/>
  <c r="F187" i="4"/>
  <c r="F184" i="4"/>
  <c r="F182" i="4"/>
  <c r="F181" i="4"/>
  <c r="F180" i="4"/>
  <c r="F179" i="4"/>
  <c r="F178" i="4"/>
  <c r="F173" i="4"/>
  <c r="F172" i="4"/>
  <c r="F171" i="4"/>
  <c r="F170" i="4"/>
  <c r="F169" i="4"/>
  <c r="F168" i="4"/>
  <c r="F167" i="4"/>
  <c r="F166" i="4"/>
  <c r="F164" i="4"/>
  <c r="F163" i="4"/>
  <c r="F162" i="4"/>
  <c r="F161" i="4"/>
  <c r="G161" i="4" s="1"/>
  <c r="F160" i="4"/>
  <c r="G160" i="4" s="1"/>
  <c r="F159" i="4"/>
  <c r="G159" i="4" s="1"/>
  <c r="F158" i="4"/>
  <c r="G158" i="4" s="1"/>
  <c r="F157" i="4"/>
  <c r="G157" i="4" s="1"/>
  <c r="F156" i="4"/>
  <c r="G156" i="4" s="1"/>
  <c r="F123" i="4"/>
  <c r="G123" i="4" s="1"/>
  <c r="F150" i="4"/>
  <c r="G150" i="4" s="1"/>
  <c r="F149" i="4"/>
  <c r="G149" i="4" s="1"/>
  <c r="F147" i="4"/>
  <c r="G147" i="4" s="1"/>
  <c r="F146" i="4"/>
  <c r="G146" i="4" s="1"/>
  <c r="F144" i="4"/>
  <c r="G144" i="4" s="1"/>
  <c r="F143" i="4"/>
  <c r="G143" i="4" s="1"/>
  <c r="F142" i="4"/>
  <c r="G142" i="4" s="1"/>
  <c r="F141" i="4"/>
  <c r="G141" i="4" s="1"/>
  <c r="F140" i="4"/>
  <c r="G140" i="4" s="1"/>
  <c r="F139" i="4"/>
  <c r="G139" i="4" s="1"/>
  <c r="F138" i="4"/>
  <c r="G138" i="4" s="1"/>
  <c r="F137" i="4"/>
  <c r="G137" i="4" s="1"/>
  <c r="F135" i="4"/>
  <c r="G135" i="4" s="1"/>
  <c r="F134" i="4"/>
  <c r="G134" i="4" s="1"/>
  <c r="F133" i="4"/>
  <c r="G133" i="4" s="1"/>
  <c r="F132" i="4"/>
  <c r="G132" i="4" s="1"/>
  <c r="F131" i="4"/>
  <c r="G131" i="4" s="1"/>
  <c r="F129" i="4"/>
  <c r="G129" i="4" s="1"/>
  <c r="F128" i="4"/>
  <c r="G128" i="4" s="1"/>
  <c r="F127" i="4"/>
  <c r="G127" i="4" s="1"/>
  <c r="F126" i="4"/>
  <c r="G126" i="4" s="1"/>
  <c r="F125" i="4"/>
  <c r="G125" i="4" s="1"/>
  <c r="F124" i="4"/>
  <c r="G124" i="4" s="1"/>
  <c r="F102" i="4"/>
  <c r="F73" i="4"/>
  <c r="F91" i="4"/>
  <c r="F92" i="4"/>
  <c r="F93" i="4"/>
  <c r="F94" i="4"/>
  <c r="F95" i="4"/>
  <c r="F90" i="4"/>
  <c r="F88" i="4"/>
  <c r="F96" i="4"/>
  <c r="G96" i="4" s="1"/>
  <c r="G151" i="4" l="1"/>
  <c r="G90" i="4"/>
  <c r="F45" i="4" l="1"/>
  <c r="G45" i="4" s="1"/>
  <c r="F44" i="4"/>
  <c r="G44" i="4" s="1"/>
  <c r="G282" i="4" l="1"/>
  <c r="F286" i="4"/>
  <c r="G286" i="4" s="1"/>
  <c r="F285" i="4"/>
  <c r="G285" i="4" s="1"/>
  <c r="F283" i="4"/>
  <c r="G283" i="4" s="1"/>
  <c r="F281" i="4"/>
  <c r="G281" i="4" s="1"/>
  <c r="F289" i="4"/>
  <c r="G289" i="4" s="1"/>
  <c r="F280" i="4"/>
  <c r="G280" i="4" s="1"/>
  <c r="F279" i="4"/>
  <c r="G279" i="4" s="1"/>
  <c r="F278" i="4"/>
  <c r="G278" i="4" s="1"/>
  <c r="F215" i="4"/>
  <c r="G215" i="4" s="1"/>
  <c r="F213" i="4"/>
  <c r="G213" i="4" s="1"/>
  <c r="F212" i="4"/>
  <c r="G212" i="4" s="1"/>
  <c r="F200" i="4"/>
  <c r="G200" i="4" s="1"/>
  <c r="F204" i="4"/>
  <c r="G204" i="4" s="1"/>
  <c r="F113" i="4"/>
  <c r="G113" i="4" s="1"/>
  <c r="G110" i="4"/>
  <c r="G102" i="4" l="1"/>
  <c r="G192" i="4"/>
  <c r="F208" i="4"/>
  <c r="G208" i="4" s="1"/>
  <c r="F207" i="4"/>
  <c r="G207" i="4" s="1"/>
  <c r="F196" i="4"/>
  <c r="G196" i="4" s="1"/>
  <c r="G182" i="4"/>
  <c r="F206" i="4"/>
  <c r="G206" i="4" s="1"/>
  <c r="F205" i="4"/>
  <c r="G205" i="4" s="1"/>
  <c r="F198" i="4"/>
  <c r="G198" i="4" s="1"/>
  <c r="G191" i="4"/>
  <c r="G180" i="4"/>
  <c r="G179" i="4"/>
  <c r="G178" i="4"/>
  <c r="F177" i="4"/>
  <c r="G177" i="4" s="1"/>
  <c r="G181" i="4"/>
  <c r="G187" i="4"/>
  <c r="G184" i="4"/>
  <c r="G232" i="4"/>
  <c r="G233" i="4"/>
  <c r="G234" i="4"/>
  <c r="G235" i="4"/>
  <c r="G236" i="4"/>
  <c r="G237" i="4"/>
  <c r="G238" i="4"/>
  <c r="G239" i="4"/>
  <c r="G240" i="4"/>
  <c r="G241" i="4"/>
  <c r="G242" i="4"/>
  <c r="G243" i="4"/>
  <c r="G244" i="4"/>
  <c r="G245" i="4"/>
  <c r="G246" i="4"/>
  <c r="G247" i="4"/>
  <c r="G248" i="4"/>
  <c r="G249" i="4"/>
  <c r="G231" i="4"/>
  <c r="G229" i="4"/>
  <c r="F272" i="4"/>
  <c r="G272" i="4" s="1"/>
  <c r="F271" i="4"/>
  <c r="G271" i="4" s="1"/>
  <c r="F269" i="4"/>
  <c r="G269" i="4" s="1"/>
  <c r="F273" i="4"/>
  <c r="G273" i="4" s="1"/>
  <c r="F270" i="4"/>
  <c r="G270" i="4" s="1"/>
  <c r="F258" i="4"/>
  <c r="G258" i="4" s="1"/>
  <c r="F259" i="4"/>
  <c r="G259" i="4" s="1"/>
  <c r="F260" i="4"/>
  <c r="G260" i="4" s="1"/>
  <c r="F261" i="4"/>
  <c r="G261" i="4" s="1"/>
  <c r="F262" i="4"/>
  <c r="G262" i="4" s="1"/>
  <c r="F263" i="4"/>
  <c r="G263" i="4" s="1"/>
  <c r="F264" i="4"/>
  <c r="G264" i="4" s="1"/>
  <c r="F265" i="4"/>
  <c r="G265" i="4" s="1"/>
  <c r="F266" i="4"/>
  <c r="G266" i="4" s="1"/>
  <c r="F267" i="4"/>
  <c r="G267" i="4" s="1"/>
  <c r="F268" i="4"/>
  <c r="G268" i="4" s="1"/>
  <c r="F257" i="4"/>
  <c r="G257" i="4" s="1"/>
  <c r="F255" i="4"/>
  <c r="G255" i="4" s="1"/>
  <c r="F254" i="4"/>
  <c r="G254" i="4" s="1"/>
  <c r="G91" i="4"/>
  <c r="G92" i="4"/>
  <c r="G93" i="4"/>
  <c r="G94" i="4"/>
  <c r="G95" i="4"/>
  <c r="G88" i="4"/>
  <c r="F87" i="4"/>
  <c r="G73" i="4"/>
  <c r="F74" i="4"/>
  <c r="G74" i="4" s="1"/>
  <c r="F71" i="4"/>
  <c r="G71" i="4" s="1"/>
  <c r="F75" i="4"/>
  <c r="G75" i="4" s="1"/>
  <c r="G250" i="4" l="1"/>
  <c r="G193" i="4"/>
  <c r="G209" i="4"/>
  <c r="G87" i="4"/>
  <c r="G97" i="4" s="1"/>
  <c r="F97" i="4"/>
  <c r="F312" i="4" s="1"/>
  <c r="F193" i="4"/>
  <c r="F317" i="4" s="1"/>
  <c r="F209" i="4"/>
  <c r="F318" i="4" s="1"/>
  <c r="G67" i="4" l="1"/>
  <c r="F62" i="4"/>
  <c r="G62" i="4" s="1"/>
  <c r="F66" i="4" l="1"/>
  <c r="G66" i="4" s="1"/>
  <c r="F65" i="4"/>
  <c r="G65" i="4" s="1"/>
  <c r="F64" i="4"/>
  <c r="G64" i="4" s="1"/>
  <c r="F63" i="4"/>
  <c r="G63" i="4" s="1"/>
  <c r="F61" i="4"/>
  <c r="G61" i="4" s="1"/>
  <c r="F48" i="4" l="1"/>
  <c r="G48" i="4" s="1"/>
  <c r="F49" i="4"/>
  <c r="G49" i="4" s="1"/>
  <c r="F50" i="4"/>
  <c r="G50" i="4" s="1"/>
  <c r="F51" i="4"/>
  <c r="G51" i="4" s="1"/>
  <c r="F52" i="4"/>
  <c r="G52" i="4" s="1"/>
  <c r="F53" i="4"/>
  <c r="G53" i="4" s="1"/>
  <c r="F54" i="4"/>
  <c r="G54" i="4" s="1"/>
  <c r="F55" i="4"/>
  <c r="G55" i="4" s="1"/>
  <c r="F56" i="4"/>
  <c r="G56" i="4" s="1"/>
  <c r="F47" i="4"/>
  <c r="G47" i="4" s="1"/>
  <c r="F43" i="4"/>
  <c r="G43" i="4" s="1"/>
  <c r="G57" i="4" s="1"/>
  <c r="F37" i="4"/>
  <c r="G37" i="4" s="1"/>
  <c r="F38" i="4"/>
  <c r="G38" i="4" s="1"/>
  <c r="F39" i="4"/>
  <c r="G39" i="4" s="1"/>
  <c r="F36" i="4"/>
  <c r="G36" i="4" s="1"/>
  <c r="F34" i="4"/>
  <c r="G34" i="4" s="1"/>
  <c r="G25" i="4"/>
  <c r="G20" i="4"/>
  <c r="F288" i="4"/>
  <c r="G288" i="4" s="1"/>
  <c r="F287" i="4"/>
  <c r="G287" i="4" s="1"/>
  <c r="F284" i="4"/>
  <c r="G284" i="4" s="1"/>
  <c r="F114" i="4"/>
  <c r="G114" i="4" s="1"/>
  <c r="G164" i="4"/>
  <c r="G167" i="4"/>
  <c r="G168" i="4"/>
  <c r="G169" i="4"/>
  <c r="G170" i="4"/>
  <c r="G171" i="4"/>
  <c r="G172" i="4"/>
  <c r="G173" i="4"/>
  <c r="G166" i="4"/>
  <c r="F118" i="4"/>
  <c r="G118" i="4" s="1"/>
  <c r="F117" i="4"/>
  <c r="G117" i="4" s="1"/>
  <c r="F116" i="4"/>
  <c r="G116" i="4" s="1"/>
  <c r="F115" i="4"/>
  <c r="G115" i="4" s="1"/>
  <c r="F109" i="4"/>
  <c r="G109" i="4" s="1"/>
  <c r="G119" i="4" s="1"/>
  <c r="G40" i="4" l="1"/>
  <c r="G290" i="4"/>
  <c r="F31" i="4"/>
  <c r="G31" i="4"/>
  <c r="F290" i="4"/>
  <c r="F119" i="4"/>
  <c r="F314" i="4" s="1"/>
  <c r="F72" i="4" l="1"/>
  <c r="G72" i="4" s="1"/>
  <c r="F76" i="4"/>
  <c r="G76" i="4" s="1"/>
  <c r="F83" i="4"/>
  <c r="G83" i="4" s="1"/>
  <c r="F82" i="4"/>
  <c r="G82" i="4" s="1"/>
  <c r="F81" i="4"/>
  <c r="G81" i="4" s="1"/>
  <c r="F80" i="4"/>
  <c r="G80" i="4" s="1"/>
  <c r="F79" i="4"/>
  <c r="G79" i="4" s="1"/>
  <c r="G78" i="4"/>
  <c r="G84" i="4" l="1"/>
  <c r="G162" i="4"/>
  <c r="F155" i="4" l="1"/>
  <c r="G155" i="4" s="1"/>
  <c r="G163" i="4" l="1"/>
  <c r="G174" i="4" s="1"/>
  <c r="F220" i="4" l="1"/>
  <c r="G220" i="4" s="1"/>
  <c r="F223" i="4" l="1"/>
  <c r="G223" i="4" s="1"/>
  <c r="F224" i="4"/>
  <c r="G224" i="4" s="1"/>
  <c r="F221" i="4"/>
  <c r="G221" i="4" s="1"/>
  <c r="F222" i="4"/>
  <c r="G222" i="4" s="1"/>
  <c r="F214" i="4"/>
  <c r="G214" i="4" s="1"/>
  <c r="G216" i="4" s="1"/>
  <c r="G225" i="4" l="1"/>
  <c r="F225" i="4"/>
  <c r="F320" i="4" s="1"/>
  <c r="F216" i="4"/>
  <c r="F319" i="4" s="1"/>
  <c r="F174" i="4" l="1"/>
  <c r="F316" i="4" s="1"/>
  <c r="F84" i="4" l="1"/>
  <c r="F311" i="4" s="1"/>
  <c r="F253" i="4"/>
  <c r="G253" i="4" s="1"/>
  <c r="G274" i="4" s="1"/>
  <c r="F151" i="4" l="1"/>
  <c r="F315" i="4" s="1"/>
  <c r="F274" i="4"/>
  <c r="F322" i="4" s="1"/>
  <c r="F250" i="4"/>
  <c r="F321" i="4" s="1"/>
  <c r="F306" i="4" l="1"/>
  <c r="F103" i="4"/>
  <c r="G103" i="4" s="1"/>
  <c r="F101" i="4"/>
  <c r="G101" i="4" s="1"/>
  <c r="F100" i="4"/>
  <c r="G100" i="4" s="1"/>
  <c r="G104" i="4" s="1"/>
  <c r="F60" i="4"/>
  <c r="G60" i="4" s="1"/>
  <c r="G68" i="4" s="1"/>
  <c r="F40" i="4" l="1"/>
  <c r="F308" i="4" s="1"/>
  <c r="F104" i="4"/>
  <c r="F313" i="4" s="1"/>
  <c r="F68" i="4"/>
  <c r="F310" i="4" s="1"/>
  <c r="F57" i="4" l="1"/>
  <c r="F309" i="4" s="1"/>
  <c r="F307"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5"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Sheet1!$C$5:$D$26" type="102" refreshedVersion="5" minRefreshableVersion="5">
    <extLst>
      <ext xmlns:x15="http://schemas.microsoft.com/office/spreadsheetml/2010/11/main" uri="{DE250136-89BD-433C-8126-D09CA5730AF9}">
        <x15:connection id="Range-cc5e62e2-664e-4603-8716-6ba56068c699" autoDelete="1" usedByAddin="1">
          <x15:rangePr sourceName="_xlcn.WorksheetConnection_Sheet1C5D261"/>
        </x15:connection>
      </ext>
    </extLst>
  </connection>
</connections>
</file>

<file path=xl/sharedStrings.xml><?xml version="1.0" encoding="utf-8"?>
<sst xmlns="http://schemas.openxmlformats.org/spreadsheetml/2006/main" count="906" uniqueCount="455">
  <si>
    <t>SOE Name:</t>
  </si>
  <si>
    <t>Filled by:</t>
  </si>
  <si>
    <t>Date:</t>
  </si>
  <si>
    <t>MOA review after CG code 1 May 2019</t>
  </si>
  <si>
    <t>Strategic Plan</t>
  </si>
  <si>
    <t xml:space="preserve">Annual Budget </t>
  </si>
  <si>
    <t>Internal Audit SOP</t>
  </si>
  <si>
    <t xml:space="preserve">Risk management Function </t>
  </si>
  <si>
    <t>Risk management policies</t>
  </si>
  <si>
    <t>Annual Board Plan for the meetings</t>
  </si>
  <si>
    <t xml:space="preserve">Frequency of board meetings </t>
  </si>
  <si>
    <t>Register of directors</t>
  </si>
  <si>
    <t xml:space="preserve">Register of directors includes: </t>
  </si>
  <si>
    <t>Academic and education qualifications</t>
  </si>
  <si>
    <t xml:space="preserve">Professional training </t>
  </si>
  <si>
    <t xml:space="preserve">Register of interest </t>
  </si>
  <si>
    <t>Director’s shareholding in any other businesses</t>
  </si>
  <si>
    <t>Employment in the past 2 (two) years </t>
  </si>
  <si>
    <t>Details of shareholding/involvement of a Director’s immediate family members (Father, Mother, Spouse, Children, Step-Children, Siblings) </t>
  </si>
  <si>
    <t>Details of current employment of the Director’s immediate family members.</t>
  </si>
  <si>
    <r>
      <t>Performance evaluation completed and shared with PCB before 31</t>
    </r>
    <r>
      <rPr>
        <vertAlign val="superscript"/>
        <sz val="8"/>
        <rFont val="Palatino Linotype"/>
        <family val="1"/>
      </rPr>
      <t>st</t>
    </r>
    <r>
      <rPr>
        <sz val="10"/>
        <rFont val="Palatino Linotype"/>
        <family val="1"/>
      </rPr>
      <t xml:space="preserve"> January </t>
    </r>
  </si>
  <si>
    <t>Fiduciary duties and responsibilities</t>
  </si>
  <si>
    <t>Strategic aims and Objectives</t>
  </si>
  <si>
    <t xml:space="preserve">Operation, business model including risk profile senior management and business environment </t>
  </si>
  <si>
    <t xml:space="preserve">Covers CG code </t>
  </si>
  <si>
    <t xml:space="preserve">Code of conduct and Code of Ethics </t>
  </si>
  <si>
    <t xml:space="preserve">Board meeting process </t>
  </si>
  <si>
    <t xml:space="preserve">Statement of Directors' Responsibilities </t>
  </si>
  <si>
    <t>Board’s evaluation Confirmation</t>
  </si>
  <si>
    <t>i.</t>
  </si>
  <si>
    <t>ii.</t>
  </si>
  <si>
    <t>i</t>
  </si>
  <si>
    <t>ii</t>
  </si>
  <si>
    <t>iii</t>
  </si>
  <si>
    <t>iv</t>
  </si>
  <si>
    <t>v</t>
  </si>
  <si>
    <t>vi</t>
  </si>
  <si>
    <t>vii</t>
  </si>
  <si>
    <t>viii. Minutes of the meetings to be recorded and maintained by the Company Secretary</t>
  </si>
  <si>
    <t>objectives, purpose and activities</t>
  </si>
  <si>
    <t>composition</t>
  </si>
  <si>
    <t>delegated authorities including the extent of power to make decisions and/or recommendations</t>
  </si>
  <si>
    <t xml:space="preserve"> tenure</t>
  </si>
  <si>
    <t>reporting mechanism to the Board</t>
  </si>
  <si>
    <t>agreed procedure for seeking independent outside professional advice when necessary </t>
  </si>
  <si>
    <t xml:space="preserve">Frequency of Audit Committee meeting  </t>
  </si>
  <si>
    <t>Minutes of the meetings to be recorded and maintained by the Company Secretary. </t>
  </si>
  <si>
    <t>Professional Experience</t>
  </si>
  <si>
    <t>Current employment</t>
  </si>
  <si>
    <t>Details of major assets owned by the Director (Director's Asset Declaration)</t>
  </si>
  <si>
    <t xml:space="preserve">Position: </t>
  </si>
  <si>
    <t xml:space="preserve">Kindly share the supporting documents via the drive link. </t>
  </si>
  <si>
    <t xml:space="preserve">Remarks / Reasons </t>
  </si>
  <si>
    <t>Audit Charter / Terms of Reference TOR</t>
  </si>
  <si>
    <t xml:space="preserve">Informal meeting among Non-Executive Directors </t>
  </si>
  <si>
    <t xml:space="preserve">Board Meeting Attendance </t>
  </si>
  <si>
    <t xml:space="preserve">List of company's Shareholders </t>
  </si>
  <si>
    <t>List of related parties (value of transaction exceeding 2% of total assets)</t>
  </si>
  <si>
    <t xml:space="preserve">Name and Remuneration of External Auditors &amp; disclosure of independence </t>
  </si>
  <si>
    <t xml:space="preserve">Directors' Report </t>
  </si>
  <si>
    <t xml:space="preserve">Compensation of Directors and Senior Management </t>
  </si>
  <si>
    <t>List of Numbers of shares and Classes and rights for each class</t>
  </si>
  <si>
    <t>-</t>
  </si>
  <si>
    <t xml:space="preserve">Company has its own website </t>
  </si>
  <si>
    <t xml:space="preserve">The following information is  available on the website </t>
  </si>
  <si>
    <t>AoA and MoA</t>
  </si>
  <si>
    <t xml:space="preserve">Terms of reference of Directors </t>
  </si>
  <si>
    <t xml:space="preserve">Company's policy of annual evaluation of the Board </t>
  </si>
  <si>
    <t xml:space="preserve">The minutes of the Annual General meeting for the Previous 5 Years </t>
  </si>
  <si>
    <t>Dividend policy</t>
  </si>
  <si>
    <t xml:space="preserve">The corporate governance statement for the last 3 years </t>
  </si>
  <si>
    <t xml:space="preserve">Company's structure and cross-shareholding </t>
  </si>
  <si>
    <t>Last three years annual report</t>
  </si>
  <si>
    <t xml:space="preserve">Financial Statements (Annual and Quarter) </t>
  </si>
  <si>
    <t xml:space="preserve">Disclosure subjected to any specific regulatory oversight and how its exercised </t>
  </si>
  <si>
    <t xml:space="preserve">Disclosure of aggregate amount of Charitable Donation by the company </t>
  </si>
  <si>
    <t>Approval of Strategic Objectives</t>
  </si>
  <si>
    <t>Corporate Plan</t>
  </si>
  <si>
    <t xml:space="preserve">Open session for non-shareholding stakeholders </t>
  </si>
  <si>
    <t>* Declaration of Dividend</t>
  </si>
  <si>
    <t xml:space="preserve">Number of Members with a professional qualification from accountancy bodies </t>
  </si>
  <si>
    <t xml:space="preserve">Audit Committee Chairperson - Academic Qualification </t>
  </si>
  <si>
    <t>Audit Committee Chairperson - Accounting and Financial Experience</t>
  </si>
  <si>
    <t xml:space="preserve">Register of interest includes: </t>
  </si>
  <si>
    <t>Audit Charter / Terms of Reference (TOR) of the Audit Committee includes:  </t>
  </si>
  <si>
    <t>AOA Covers:</t>
  </si>
  <si>
    <t xml:space="preserve">Total Earned </t>
  </si>
  <si>
    <t>Earned</t>
  </si>
  <si>
    <t xml:space="preserve">Audit Committee Members includes Board Chair, MD or CEO </t>
  </si>
  <si>
    <t xml:space="preserve">Audit Committee Chairperson is independent and Non-Executive Director </t>
  </si>
  <si>
    <t>iii.</t>
  </si>
  <si>
    <t xml:space="preserve">Compliance affirmation on Annual Report </t>
  </si>
  <si>
    <t>Policy on Board performance evaluation</t>
  </si>
  <si>
    <t xml:space="preserve">Conducting Annual Board Performance Evaluation </t>
  </si>
  <si>
    <t xml:space="preserve">Annual Corporate and Other reports by BOD and BOD Committees </t>
  </si>
  <si>
    <t>Audit Reported submitted by the Auditor General/External Auditor</t>
  </si>
  <si>
    <t xml:space="preserve">Duration of the Notice and agenda of the Annual General Meeting </t>
  </si>
  <si>
    <t>Availability of the Notice and Agenda of the Annual General Meeting</t>
  </si>
  <si>
    <t>Agenda and Documents Shared with MOF and PCB</t>
  </si>
  <si>
    <t xml:space="preserve">Agenda includes draft text of the resolutions to be voted </t>
  </si>
  <si>
    <t xml:space="preserve">Statement on Internal controls and  risk management </t>
  </si>
  <si>
    <t xml:space="preserve">Reference to the Code of ethics / Compliance affirmation on Annual Report </t>
  </si>
  <si>
    <t>Audited Financial Reports with external auditor's conclusion</t>
  </si>
  <si>
    <t>Company's Website reference for the Code of Conduct and Code of Ethics</t>
  </si>
  <si>
    <t xml:space="preserve">Corporate Governance report and statement </t>
  </si>
  <si>
    <t>Ownership exercise disclosure</t>
  </si>
  <si>
    <t xml:space="preserve">The Company's Act </t>
  </si>
  <si>
    <t xml:space="preserve">Information on board performance Criteria and Evaluation </t>
  </si>
  <si>
    <t xml:space="preserve">A. Board Composition </t>
  </si>
  <si>
    <t>C. BOD and CS Key Responsibilities</t>
  </si>
  <si>
    <t>D. Board Meeting</t>
  </si>
  <si>
    <t>E. Training and Development of Directors and Company Secretary (CS)</t>
  </si>
  <si>
    <t xml:space="preserve">G. Board Performance Evaluation </t>
  </si>
  <si>
    <t>PCB approvals for the formation of the board committees</t>
  </si>
  <si>
    <t>Frequency of Committee Meetings</t>
  </si>
  <si>
    <t>Committee Reports and Findings shared with The board</t>
  </si>
  <si>
    <t xml:space="preserve">Majority of Members are Non-Executives </t>
  </si>
  <si>
    <t>Composition of Committees</t>
  </si>
  <si>
    <t>A. Annual General Meeting (AGM)</t>
  </si>
  <si>
    <t xml:space="preserve">F. Register of Interests - Board of Directors and Management </t>
  </si>
  <si>
    <t>A. Disclosure</t>
  </si>
  <si>
    <t>B. Transparency</t>
  </si>
  <si>
    <t>Segment 1: The Board</t>
  </si>
  <si>
    <t>Segment 3. Competences of the General Shareholder's Meeting and Shareholder's Rights</t>
  </si>
  <si>
    <t xml:space="preserve">Segment 4: Risk Management, Internal Control and Internal Audit </t>
  </si>
  <si>
    <t xml:space="preserve">Segment 5: Disclosure and Transparency </t>
  </si>
  <si>
    <t xml:space="preserve">Segment 6: Others Matters </t>
  </si>
  <si>
    <t xml:space="preserve">Financial Policy </t>
  </si>
  <si>
    <t xml:space="preserve">HR Policy </t>
  </si>
  <si>
    <t xml:space="preserve">B. Directors Registry </t>
  </si>
  <si>
    <t xml:space="preserve">Head of Internal Audit - Academic Qualification </t>
  </si>
  <si>
    <t xml:space="preserve">Chief Financial Officer (CFO)  - Academic Qualification </t>
  </si>
  <si>
    <t>Sound Knowledge in application of IFRS</t>
  </si>
  <si>
    <t xml:space="preserve">C. Fit and Proper of Chief Financial Officer (CFO) </t>
  </si>
  <si>
    <t xml:space="preserve">Have risk register </t>
  </si>
  <si>
    <t xml:space="preserve">Bios, remuneration and attendance of Directors </t>
  </si>
  <si>
    <t xml:space="preserve">Company's website has a section for Corporate Governance </t>
  </si>
  <si>
    <t xml:space="preserve">Availability of Documents discussed on the AGM to the Public </t>
  </si>
  <si>
    <t xml:space="preserve">A profile for every Director (educational qualification and experience) </t>
  </si>
  <si>
    <t xml:space="preserve">Register of interest readily available for relevant departments </t>
  </si>
  <si>
    <t>Disclosing Risk Reports and Findings</t>
  </si>
  <si>
    <t>E. Code of Ethics and Code of conducts</t>
  </si>
  <si>
    <t xml:space="preserve">Completion of Last Financial Year external Audit </t>
  </si>
  <si>
    <t xml:space="preserve">B. Internal Audit </t>
  </si>
  <si>
    <t xml:space="preserve">Have a Code of Ethics Compliance Officer </t>
  </si>
  <si>
    <t xml:space="preserve">Code of Conduct is circulated on the Company Website </t>
  </si>
  <si>
    <t>Agenda for board meetings are set by</t>
  </si>
  <si>
    <t>Dispatching the documentation along with the agenda</t>
  </si>
  <si>
    <t>Timeframe for Agenda dispatch</t>
  </si>
  <si>
    <t xml:space="preserve">Conducted Annual Performance Review of the Board Committees </t>
  </si>
  <si>
    <t>Frequency of Reporting to The Board</t>
  </si>
  <si>
    <t xml:space="preserve">Frequency of reporting to Audit Committee </t>
  </si>
  <si>
    <t>Procurement Policy Align with PCB Guidelines</t>
  </si>
  <si>
    <t xml:space="preserve">Functions of Procurement Department and Job descriptions as per PCB Guidelines </t>
  </si>
  <si>
    <t xml:space="preserve">Executive Directors role in the company </t>
  </si>
  <si>
    <t xml:space="preserve">Annual Plan and Budget </t>
  </si>
  <si>
    <t xml:space="preserve">Provisions </t>
  </si>
  <si>
    <t>A. Committee Formations and Functions</t>
  </si>
  <si>
    <t xml:space="preserve">Board Composition </t>
  </si>
  <si>
    <t xml:space="preserve">Directors Registry </t>
  </si>
  <si>
    <t>BOD and CS Key Responsibilities</t>
  </si>
  <si>
    <t>Board Meeting</t>
  </si>
  <si>
    <t xml:space="preserve">Board Performance Evaluation </t>
  </si>
  <si>
    <t>Committee Formations and Functions</t>
  </si>
  <si>
    <t>Annual General Meeting (AGM)</t>
  </si>
  <si>
    <t>Board Audit Committee</t>
  </si>
  <si>
    <t xml:space="preserve">Internal Audit </t>
  </si>
  <si>
    <t xml:space="preserve">Fit and Proper of Chief Financial Officer (CFO) </t>
  </si>
  <si>
    <t xml:space="preserve">Risk Management </t>
  </si>
  <si>
    <t>Code of Ethics and Code of conducts</t>
  </si>
  <si>
    <t>Disclosure</t>
  </si>
  <si>
    <t>Transparency</t>
  </si>
  <si>
    <t xml:space="preserve">Others Matters </t>
  </si>
  <si>
    <t xml:space="preserve">Allocated </t>
  </si>
  <si>
    <t xml:space="preserve">Training and Development </t>
  </si>
  <si>
    <t xml:space="preserve">Register of Interests </t>
  </si>
  <si>
    <t xml:space="preserve">Strategic Plan Implementation </t>
  </si>
  <si>
    <t xml:space="preserve">Annual Business Plan Implementation </t>
  </si>
  <si>
    <t>Chief Financial Officer (CFO) Position</t>
  </si>
  <si>
    <t xml:space="preserve">Code of ethics covers ethical principles, standards, values, and cultural behavior </t>
  </si>
  <si>
    <t xml:space="preserve">Code of Conduct covers compliance and rules for behavior </t>
  </si>
  <si>
    <t xml:space="preserve">KPIs Progress </t>
  </si>
  <si>
    <t>Executive (currently appointed)</t>
  </si>
  <si>
    <t>Non-executive (currently appointed)</t>
  </si>
  <si>
    <t>Independent (currently appointed)</t>
  </si>
  <si>
    <t>Male (currently appointed)</t>
  </si>
  <si>
    <t>Female (currently appointed)</t>
  </si>
  <si>
    <t xml:space="preserve"> </t>
  </si>
  <si>
    <t>Write/Select from the dropdown list</t>
  </si>
  <si>
    <t>Company Structure including subsidiaries, branches etc.</t>
  </si>
  <si>
    <t>Disclosure of Loan to Directors, Shareholders, Management, Auditors, Lawyers etc.</t>
  </si>
  <si>
    <t xml:space="preserve">Disclosure of Financial Assistance, aid, subsidies, grants etc. from related parties  </t>
  </si>
  <si>
    <t>Stakeholders and its policies for dealing with stakeholders for example suppliers, environment policies etc.</t>
  </si>
  <si>
    <t>Compliance with the PCB Quarterly Report Deadlines</t>
  </si>
  <si>
    <t xml:space="preserve">Total Board members as per AOA </t>
  </si>
  <si>
    <t>Completion of Directors'  Basic Induction Program by the Company</t>
  </si>
  <si>
    <t xml:space="preserve">Completion of Directors' Refresher Program </t>
  </si>
  <si>
    <t xml:space="preserve">Frequency of Directors' Refresher Program </t>
  </si>
  <si>
    <t>Contents Covered in the Company's Induction Program:</t>
  </si>
  <si>
    <t>Agenda Includes Approval of:</t>
  </si>
  <si>
    <t>Recommendation of BOD on:</t>
  </si>
  <si>
    <t>* Resource Plan (If any)</t>
  </si>
  <si>
    <t>* Employment and procurement Plan  (If any)</t>
  </si>
  <si>
    <t>- Company structure (if any)</t>
  </si>
  <si>
    <t>- Taking loans (If any)</t>
  </si>
  <si>
    <t>- Investments (If any)</t>
  </si>
  <si>
    <t>Material Transactions affecting the valuation and financial performance of the company and the interest of the government and the Public - Loans, investments, Bonus etc. (If any)</t>
  </si>
  <si>
    <t>Review of legislated mandate and public policy objectives and recommendations (If any)</t>
  </si>
  <si>
    <t>Adoption of AOA, MOA and other governance instruments and their amendments (if any)</t>
  </si>
  <si>
    <t>Group Governance Report (If any)</t>
  </si>
  <si>
    <t>Composition of Board Audit Committee</t>
  </si>
  <si>
    <t>Establishment and Functioning of Board Audit Committee</t>
  </si>
  <si>
    <t>Frequency of Board Audit Committee meetings with the whole board</t>
  </si>
  <si>
    <t xml:space="preserve">Frequency of Board Audit Committee meetings </t>
  </si>
  <si>
    <t>Which year's Annual Report was recently prepared?</t>
  </si>
  <si>
    <t>Board meeting Minutes</t>
  </si>
  <si>
    <t>Which year's Annual General Meeting (AGM) was recently held?</t>
  </si>
  <si>
    <t>Chief Internal Auditor (CIA) Position</t>
  </si>
  <si>
    <t>Compliance with Job Classification Framework</t>
  </si>
  <si>
    <t>Not Maintained</t>
  </si>
  <si>
    <t xml:space="preserve">Company -  Remarks / Reasons </t>
  </si>
  <si>
    <t>Company will not be penalized if sufficient contacts were done to PCB regarding Board Composition</t>
  </si>
  <si>
    <t>Score</t>
  </si>
  <si>
    <t>Balance of the Board Appointments at the end of the evaluating year</t>
  </si>
  <si>
    <t>Board Diversity at the end of the evaluating year</t>
  </si>
  <si>
    <t>Number of Appointed BODs as at the end of the evaluating year</t>
  </si>
  <si>
    <t>No</t>
  </si>
  <si>
    <t>Maintained and Shared with PCB</t>
  </si>
  <si>
    <t>Maintained but not shared with PCB</t>
  </si>
  <si>
    <t>All BODs updated</t>
  </si>
  <si>
    <t>Some BODs updated</t>
  </si>
  <si>
    <t>Not Updated (but current BOD's outdated info exist)</t>
  </si>
  <si>
    <t>No records</t>
  </si>
  <si>
    <t>SCORE/Earned</t>
  </si>
  <si>
    <t>Directors Registry</t>
  </si>
  <si>
    <t>1.Register of directors</t>
  </si>
  <si>
    <t>2. For Specific Informations (I, ii, iii, iv)</t>
  </si>
  <si>
    <t>Written Separately and covers</t>
  </si>
  <si>
    <t>Partially Covers</t>
  </si>
  <si>
    <t>Fully Covers</t>
  </si>
  <si>
    <t>AGM Procedure Aligned with the CG Code  &amp; Model AOA</t>
  </si>
  <si>
    <t>Annual Report Procedure Aligns with the CG Code &amp; Model AOA</t>
  </si>
  <si>
    <t>Role and Duties of the Board as a whole, as in CG Code &amp; Model AOA</t>
  </si>
  <si>
    <t>Role of Independents as in the CG Code &amp; Model AOA</t>
  </si>
  <si>
    <t>Role of Non-Executive Members as in CG Code &amp; Model AOA</t>
  </si>
  <si>
    <t>Role of Executive Members as in CG Code &amp; Model AOA</t>
  </si>
  <si>
    <t>Role of the MD/CEO as in CG Code &amp; Model AOA</t>
  </si>
  <si>
    <t>Role of Chairperson as in CG Code &amp; Model AOA</t>
  </si>
  <si>
    <t>Have there been any revisions to the AOA and MOA to align with the CG code and Model &amp; Model AOA?</t>
  </si>
  <si>
    <t>Yes</t>
  </si>
  <si>
    <t>Other Provisions in MODEL AOA</t>
  </si>
  <si>
    <t>ix</t>
  </si>
  <si>
    <t>x</t>
  </si>
  <si>
    <t>Role and Duties of Company Secretary (CS) as in CG Code &amp; align with the Company Secretary Policy</t>
  </si>
  <si>
    <t>Year of AOA revision to align with CG code and Model AOA</t>
  </si>
  <si>
    <t>Partially Covered in AOA and rest in the related Policy</t>
  </si>
  <si>
    <t>Not Sure</t>
  </si>
  <si>
    <t>Key Areas</t>
  </si>
  <si>
    <t>D. Risk Management (Recent circular and CG Code related)</t>
  </si>
  <si>
    <t>Have</t>
  </si>
  <si>
    <t>Audio and in writing</t>
  </si>
  <si>
    <t>Audio only</t>
  </si>
  <si>
    <t>Chairman only</t>
  </si>
  <si>
    <t>Chairman and CS</t>
  </si>
  <si>
    <t>MD and CS</t>
  </si>
  <si>
    <t>MD/CEO</t>
  </si>
  <si>
    <t>All together</t>
  </si>
  <si>
    <t>2 days in advance</t>
  </si>
  <si>
    <t>3 days in advance</t>
  </si>
  <si>
    <t>Always</t>
  </si>
  <si>
    <t>Often</t>
  </si>
  <si>
    <t>Weekly</t>
  </si>
  <si>
    <t>Monthly</t>
  </si>
  <si>
    <t>Quarterly</t>
  </si>
  <si>
    <t>Annually</t>
  </si>
  <si>
    <t>Not maintained</t>
  </si>
  <si>
    <t>Key Areas (Board meeting Minutes)</t>
  </si>
  <si>
    <t>In Writing (with Signatures)</t>
  </si>
  <si>
    <t>In writing (No Signature)</t>
  </si>
  <si>
    <t>All Directors have completed</t>
  </si>
  <si>
    <t>Majority completed</t>
  </si>
  <si>
    <t>Bi-annually</t>
  </si>
  <si>
    <t>None</t>
  </si>
  <si>
    <t>Same day</t>
  </si>
  <si>
    <t>Not Shared</t>
  </si>
  <si>
    <t>Documents not shared</t>
  </si>
  <si>
    <t>Other</t>
  </si>
  <si>
    <t>Few completed</t>
  </si>
  <si>
    <t xml:space="preserve">No Records </t>
  </si>
  <si>
    <t>Maintained and Not Shared with PCB</t>
  </si>
  <si>
    <t>Completed</t>
  </si>
  <si>
    <t>No induction program</t>
  </si>
  <si>
    <r>
      <t>Completion of Directors'  Basic</t>
    </r>
    <r>
      <rPr>
        <b/>
        <u/>
        <sz val="11"/>
        <color theme="1"/>
        <rFont val="Calibri"/>
        <family val="2"/>
        <scheme val="minor"/>
      </rPr>
      <t xml:space="preserve"> Induction Program by the Company</t>
    </r>
  </si>
  <si>
    <r>
      <t>Completion of</t>
    </r>
    <r>
      <rPr>
        <u/>
        <sz val="11"/>
        <color theme="1"/>
        <rFont val="Calibri"/>
        <family val="2"/>
        <scheme val="minor"/>
      </rPr>
      <t xml:space="preserve"> </t>
    </r>
    <r>
      <rPr>
        <b/>
        <u/>
        <sz val="11"/>
        <color theme="1"/>
        <rFont val="Calibri"/>
        <family val="2"/>
        <scheme val="minor"/>
      </rPr>
      <t xml:space="preserve">CMDA Basic training - CS </t>
    </r>
  </si>
  <si>
    <r>
      <t xml:space="preserve">Completion of Basic Induction Program by </t>
    </r>
    <r>
      <rPr>
        <b/>
        <u/>
        <sz val="11"/>
        <color theme="1"/>
        <rFont val="Calibri"/>
        <family val="2"/>
        <scheme val="minor"/>
      </rPr>
      <t>CMDA - BOD</t>
    </r>
  </si>
  <si>
    <r>
      <t xml:space="preserve">Conduct a </t>
    </r>
    <r>
      <rPr>
        <b/>
        <u/>
        <sz val="11"/>
        <color theme="1"/>
        <rFont val="Calibri"/>
        <family val="2"/>
        <scheme val="minor"/>
      </rPr>
      <t>Directors' Refresher Program</t>
    </r>
    <r>
      <rPr>
        <sz val="11"/>
        <color theme="1"/>
        <rFont val="Calibri"/>
        <family val="2"/>
        <scheme val="minor"/>
      </rPr>
      <t xml:space="preserve"> related to governance or operations</t>
    </r>
  </si>
  <si>
    <t>Directors training</t>
  </si>
  <si>
    <t>Established but not functioning</t>
  </si>
  <si>
    <t>1.Register of Interest</t>
  </si>
  <si>
    <t>Endorsed and Executed</t>
  </si>
  <si>
    <t>Endorsed but not yet Executed</t>
  </si>
  <si>
    <t>Information of the Information Officer of the SOE (name, contact and an email address)</t>
  </si>
  <si>
    <t>Does the Annual Report Covers?</t>
  </si>
  <si>
    <t xml:space="preserve">SOEs GOVERNANCE SELF REVIEW TOOL
PRIVATIZATION AND CORPORATIZATION BOARD (PCB) </t>
  </si>
  <si>
    <t>EVALUATION YEAR</t>
  </si>
  <si>
    <t>75% above achieved</t>
  </si>
  <si>
    <t>Written but not endorsed</t>
  </si>
  <si>
    <t>Does not have</t>
  </si>
  <si>
    <t>Established and Functioning</t>
  </si>
  <si>
    <t>Member of Professional Accountig body</t>
  </si>
  <si>
    <t>More than 5 years</t>
  </si>
  <si>
    <t>CFO and CIA Requirement</t>
  </si>
  <si>
    <t>Years of Auditing Experience</t>
  </si>
  <si>
    <t>Years of Corporate Senior Management Experience</t>
  </si>
  <si>
    <t>Active in last 3 years in Auditing Field</t>
  </si>
  <si>
    <t>Does he meet the minumum requrement set by PCB?</t>
  </si>
  <si>
    <t>Minimum quarterly 1</t>
  </si>
  <si>
    <t>Appointed</t>
  </si>
  <si>
    <t>Audit Committee only</t>
  </si>
  <si>
    <t>MNQA lvl 9(Auditing/Accounting/Finance) Certification</t>
  </si>
  <si>
    <t>IFAC body Membership</t>
  </si>
  <si>
    <t xml:space="preserve">Meet the PCB Requirement with an </t>
  </si>
  <si>
    <t>Qualified Chartered Internal Auditor</t>
  </si>
  <si>
    <t>CIA</t>
  </si>
  <si>
    <t>Retained as per CH 4 (12) of CFO and CIA related Policy</t>
  </si>
  <si>
    <t>MNQA lvl 9(Accounting/Finance) Certification</t>
  </si>
  <si>
    <t>Doesn’t meet requirement</t>
  </si>
  <si>
    <t>Experience Requirement meet</t>
  </si>
  <si>
    <t>Regulator Complinace Audit</t>
  </si>
  <si>
    <t>Not Completed</t>
  </si>
  <si>
    <t>Completed and findings shared with Audit Committee and Management</t>
  </si>
  <si>
    <t>Completed and findings shared with Audit Committee only</t>
  </si>
  <si>
    <t>Completed and findings shared with Management only</t>
  </si>
  <si>
    <t>Completed and findings shared with CEO/Managing Director only</t>
  </si>
  <si>
    <t>Completed and findings not shared</t>
  </si>
  <si>
    <t>Reporting to Audit Committee</t>
  </si>
  <si>
    <t>Internal Audit Function</t>
  </si>
  <si>
    <t>Not yet established</t>
  </si>
  <si>
    <t>Vacant</t>
  </si>
  <si>
    <t>Acting Head</t>
  </si>
  <si>
    <t>Disclosing other Internal Audit Reports and Findings</t>
  </si>
  <si>
    <t xml:space="preserve">Audit Committee and Management, </t>
  </si>
  <si>
    <t>Directly to MD</t>
  </si>
  <si>
    <t xml:space="preserve">Management Only </t>
  </si>
  <si>
    <t>EQA (External Quality Assessment) of Internal Audit Function</t>
  </si>
  <si>
    <t>EQA</t>
  </si>
  <si>
    <t>Conducted with in last 5 years</t>
  </si>
  <si>
    <t>Conducted more than 5 years ago</t>
  </si>
  <si>
    <t>Never conducted</t>
  </si>
  <si>
    <t>Terms of reference for Board Committees and corporate secretary (CS Policy)</t>
  </si>
  <si>
    <t>Endorsed Finance Ministry's Dividend Policy for SOEs</t>
  </si>
  <si>
    <t>75% above Implemented</t>
  </si>
  <si>
    <t>Chief Financial Officer (CFO)  - Required Experience (in Years)</t>
  </si>
  <si>
    <t>Head of Internal Auditing - Required Experience  (in Years)</t>
  </si>
  <si>
    <t>Active in last 5 years in Corporate Financial Reporting field</t>
  </si>
  <si>
    <t>Years of Financial/Accounting Experience</t>
  </si>
  <si>
    <t>Financial reports (including Quarter) are finalized for Board review with sufficient lead time to enable a rigorous endorsement process prior to external submission</t>
  </si>
  <si>
    <r>
      <t xml:space="preserve">Provides the Board with clear explanations for financial variances in Reports and actionable recommendations for business improvement </t>
    </r>
    <r>
      <rPr>
        <i/>
        <sz val="11"/>
        <color theme="1"/>
        <rFont val="Calibri"/>
        <family val="2"/>
        <scheme val="minor"/>
      </rPr>
      <t>(The quarterly Data Excel file prepared by PCB can help facilitate this purpose as well)</t>
    </r>
  </si>
  <si>
    <t>Position</t>
  </si>
  <si>
    <t>Last year audit ongoing parallely with more than 1  year audit pending</t>
  </si>
  <si>
    <t>Ongoing, only last year Audit Pending</t>
  </si>
  <si>
    <t>Last year audit ongoing parallely with more than 2  year audit pending</t>
  </si>
  <si>
    <t>Not Started/More than 3 year audit Pending (Even if last year audit going parallely)</t>
  </si>
  <si>
    <t>Completion of Annual Performance Appraisal of the CFO</t>
  </si>
  <si>
    <t>Completion of Annual Performance Appraisal of the CIA</t>
  </si>
  <si>
    <t>Completion of annual Performance Appraisal of Company Secretary</t>
  </si>
  <si>
    <t>Latest Performance Appraised Year</t>
  </si>
  <si>
    <r>
      <t xml:space="preserve">Presence of Board Committees besides the Audit and Risk Committee </t>
    </r>
    <r>
      <rPr>
        <i/>
        <sz val="11"/>
        <color theme="1"/>
        <rFont val="Calibri"/>
        <family val="2"/>
        <scheme val="minor"/>
      </rPr>
      <t>(if yes, list Board Committee names in remarks)</t>
    </r>
  </si>
  <si>
    <t>Was the AGM Compliance Checklist form submited by the SOE?</t>
  </si>
  <si>
    <t>Available on the website</t>
  </si>
  <si>
    <t>14 days and more</t>
  </si>
  <si>
    <t>AGM</t>
  </si>
  <si>
    <t>AGM Months</t>
  </si>
  <si>
    <t>Available on request</t>
  </si>
  <si>
    <t>Not Available to the public</t>
  </si>
  <si>
    <t>Availability of Notice and Agenda</t>
  </si>
  <si>
    <t>less than 14 days</t>
  </si>
  <si>
    <t>Does not have a plan</t>
  </si>
  <si>
    <t>No such material transaction</t>
  </si>
  <si>
    <t>No revision</t>
  </si>
  <si>
    <t xml:space="preserve">Invitation to the Auditor General and 3rd party External Auditor </t>
  </si>
  <si>
    <t>AGO Invited but 3rd party Auditor selection process not finished</t>
  </si>
  <si>
    <t>Not Invited</t>
  </si>
  <si>
    <t>No such adoption</t>
  </si>
  <si>
    <t>No new investment</t>
  </si>
  <si>
    <t>No incentives</t>
  </si>
  <si>
    <r>
      <rPr>
        <sz val="11"/>
        <color rgb="FFC00000"/>
        <rFont val="Calibri"/>
        <family val="2"/>
        <scheme val="minor"/>
      </rPr>
      <t>Following related guidelines</t>
    </r>
    <r>
      <rPr>
        <sz val="11"/>
        <rFont val="Calibri"/>
        <family val="2"/>
        <scheme val="minor"/>
      </rPr>
      <t xml:space="preserve"> and Approval from </t>
    </r>
    <r>
      <rPr>
        <sz val="11"/>
        <color rgb="FFC00000"/>
        <rFont val="Calibri"/>
        <family val="2"/>
        <scheme val="minor"/>
      </rPr>
      <t xml:space="preserve">MOFP (Ministry of Finance and Planning) </t>
    </r>
    <r>
      <rPr>
        <sz val="11"/>
        <rFont val="Calibri"/>
        <family val="2"/>
        <scheme val="minor"/>
      </rPr>
      <t>for the below matters (if any)</t>
    </r>
  </si>
  <si>
    <t>Approval from MOFP (Ministry of Finance and Planning) for the below matters</t>
  </si>
  <si>
    <t>- Other Performance related incentives (rewards) to the Management and employees  (If any)</t>
  </si>
  <si>
    <t>No Change</t>
  </si>
  <si>
    <t>No New loans</t>
  </si>
  <si>
    <t>If ANY</t>
  </si>
  <si>
    <t>Structure change</t>
  </si>
  <si>
    <t>Loans</t>
  </si>
  <si>
    <t>Meet the PCB Requirement with:</t>
  </si>
  <si>
    <t>Not Established</t>
  </si>
  <si>
    <t>Through internal audit</t>
  </si>
  <si>
    <t>Through quality management system (QMS)</t>
  </si>
  <si>
    <t>Outsourced</t>
  </si>
  <si>
    <t>50% above Implemented</t>
  </si>
  <si>
    <t>Risk Management (Recent circular and CG Code related)</t>
  </si>
  <si>
    <t>Through Risk Management Independent Unit</t>
  </si>
  <si>
    <t>Risk Management</t>
  </si>
  <si>
    <t>Management Only</t>
  </si>
  <si>
    <t>ARC only</t>
  </si>
  <si>
    <t xml:space="preserve"> None</t>
  </si>
  <si>
    <t>ARC and Management</t>
  </si>
  <si>
    <t>50% less Implemented</t>
  </si>
  <si>
    <t>Endorsed but not yet executed</t>
  </si>
  <si>
    <t>Sometimes</t>
  </si>
  <si>
    <t>Have difficulties</t>
  </si>
  <si>
    <t>50% above achieved</t>
  </si>
  <si>
    <t>50% less achieved</t>
  </si>
  <si>
    <t>Implementation related</t>
  </si>
  <si>
    <t>Endorsement</t>
  </si>
  <si>
    <t>Q report compliance</t>
  </si>
  <si>
    <t>Obtained</t>
  </si>
  <si>
    <t>A. Board Audit Committee (ARC = Audit and Risk Committee)</t>
  </si>
  <si>
    <t>Independent, Non Executive Director</t>
  </si>
  <si>
    <t>Account Finance related Degree or above</t>
  </si>
  <si>
    <t>Has no accounting or financial credentials</t>
  </si>
  <si>
    <t>Non Executive, but not an Independent Director</t>
  </si>
  <si>
    <t>Yes (in remarks write letter NO/ if Email write emailed date)</t>
  </si>
  <si>
    <t>Year of MOA revision to align with CG code</t>
  </si>
  <si>
    <t>is there any formal communication done with PCB (Letter/Email) regarding Composition issues?</t>
  </si>
  <si>
    <r>
      <t xml:space="preserve">Asset Declaration as per Code of Conduct of SOE BODs 
</t>
    </r>
    <r>
      <rPr>
        <sz val="8"/>
        <color rgb="FFC00000"/>
        <rFont val="Calibri"/>
        <family val="2"/>
        <scheme val="minor"/>
      </rPr>
      <t>(e.g., For the 2025 reporting cycle: Was the 2024 year-end declaration filed by the 2025 January 31st deadline?)</t>
    </r>
  </si>
  <si>
    <t>Have at least 3 members</t>
  </si>
  <si>
    <t>All the reports and findings</t>
  </si>
  <si>
    <t>AGO Iand 3rd party auditor Invited</t>
  </si>
  <si>
    <t>Date of Annual General Meeting (Write Month only)</t>
  </si>
  <si>
    <t>Jan of the Evaluating Year</t>
  </si>
  <si>
    <t>Feb of the Evaluating Year</t>
  </si>
  <si>
    <t>Mar of the Evaluating Year</t>
  </si>
  <si>
    <t>Apr of the Evaluating Year</t>
  </si>
  <si>
    <t>May of the Evaluating Year</t>
  </si>
  <si>
    <t>Jun of the Evaluating Year</t>
  </si>
  <si>
    <t>Jul of the Evaluating Year</t>
  </si>
  <si>
    <t>Aug of the Evaluating Year</t>
  </si>
  <si>
    <t>Sep of the Evaluating Year</t>
  </si>
  <si>
    <t>Oct of the Evaluating Year</t>
  </si>
  <si>
    <t>Nov of the Evaluating Year</t>
  </si>
  <si>
    <t>Dec of the Evaluating Year</t>
  </si>
  <si>
    <t>After the  Evaluating Year</t>
  </si>
  <si>
    <t>Formulated and endorsed</t>
  </si>
  <si>
    <t>Does the company have Unified Code of Ethics and Code of Conduct</t>
  </si>
  <si>
    <r>
      <t xml:space="preserve">All State-Owned Enterprises (SOEs) are mandated to comply with the Corporate Governance (CG) code. Additionally, they must adhere to circulars and instructions issued by the Privatization and Corporatization Board, as stipulated in Act No. 03/2013. This review is conducted to assess the level of compliance by SOEs.
</t>
    </r>
    <r>
      <rPr>
        <b/>
        <sz val="12"/>
        <color rgb="FFFF0000"/>
        <rFont val="Calibri (Body)"/>
      </rPr>
      <t>Instructions:</t>
    </r>
    <r>
      <rPr>
        <b/>
        <sz val="12"/>
        <color theme="1"/>
        <rFont val="Calibri"/>
        <family val="2"/>
        <scheme val="minor"/>
      </rPr>
      <t xml:space="preserve"> 
* Write or Select the appropriate option from the dropdown menu. For numerical values, please write a </t>
    </r>
    <r>
      <rPr>
        <b/>
        <sz val="12"/>
        <color rgb="FFFF0000"/>
        <rFont val="Calibri (Body)"/>
      </rPr>
      <t xml:space="preserve">whole number. </t>
    </r>
    <r>
      <rPr>
        <b/>
        <sz val="12"/>
        <color theme="1"/>
        <rFont val="Calibri (Body)"/>
      </rPr>
      <t xml:space="preserve">For Year write in the format </t>
    </r>
    <r>
      <rPr>
        <b/>
        <sz val="12"/>
        <color rgb="FFFF0000"/>
        <rFont val="Calibri (Body)"/>
      </rPr>
      <t>2099</t>
    </r>
    <r>
      <rPr>
        <b/>
        <sz val="12"/>
        <color theme="1"/>
        <rFont val="Calibri"/>
        <family val="2"/>
        <scheme val="minor"/>
      </rPr>
      <t xml:space="preserve">
* If you have any comments or reasons, please include them in the "Remarks/Reasons" column.
* Further details will appear when you hover the cursor over the cell (Write/select from the dropdown list).</t>
    </r>
  </si>
  <si>
    <t>Followed guideline/Policy and Approval was received from MOF</t>
  </si>
  <si>
    <t>MOF Approval received but guideline was not followed</t>
  </si>
  <si>
    <t>Changed without MOF Approval</t>
  </si>
  <si>
    <t>Compliance Audit/Review of Regulator requirements (Including PCB and Other regulators compliance review if any)</t>
  </si>
  <si>
    <t>Internal Audit Charter</t>
  </si>
  <si>
    <r>
      <t xml:space="preserve">Segment 2: Board Committees </t>
    </r>
    <r>
      <rPr>
        <b/>
        <sz val="11"/>
        <color rgb="FFFFC000"/>
        <rFont val="Calibri (Body)"/>
      </rPr>
      <t>(Excluding the Audit Committee)</t>
    </r>
  </si>
  <si>
    <t>Chaired by Non Executive Director</t>
  </si>
  <si>
    <t>Board Committees have Board approved TOR (Charter)</t>
  </si>
  <si>
    <t>Contact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</si>
</sst>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
    <numFmt numFmtId="165" formatCode="mmm\-d\-yy"/>
    <numFmt numFmtId="166" formatCode="&quot;Year&quot;\ 0"/>
  </numFmts>
  <fonts count="34">
    <font>
      <sz val="11"/>
      <color theme="1"/>
      <name val="Calibri"/>
      <family val="2"/>
      <scheme val="minor"/>
    </font>
    <font>
      <sz val="11"/>
      <name val="Calibri"/>
      <family val="2"/>
      <scheme val="minor"/>
    </font>
    <font>
      <sz val="11"/>
      <color rgb="FFFF0000"/>
      <name val="Calibri"/>
      <family val="2"/>
      <scheme val="minor"/>
    </font>
    <font>
      <sz val="10"/>
      <name val="Palatino Linotype"/>
      <family val="1"/>
    </font>
    <font>
      <vertAlign val="superscript"/>
      <sz val="8"/>
      <name val="Palatino Linotype"/>
      <family val="1"/>
    </font>
    <font>
      <sz val="11"/>
      <color rgb="FF000000"/>
      <name val="Calibri"/>
      <family val="2"/>
      <scheme val="minor"/>
    </font>
    <font>
      <b/>
      <sz val="16"/>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sz val="11"/>
      <color theme="2" tint="-0.249977111117893"/>
      <name val="Calibri"/>
      <family val="2"/>
      <scheme val="minor"/>
    </font>
    <font>
      <sz val="11"/>
      <color rgb="FF404040"/>
      <name val="Calibri"/>
      <family val="2"/>
      <scheme val="minor"/>
    </font>
    <font>
      <b/>
      <sz val="11"/>
      <color theme="0"/>
      <name val="Calibri"/>
      <family val="2"/>
      <scheme val="minor"/>
    </font>
    <font>
      <b/>
      <sz val="12"/>
      <color rgb="FFFF0000"/>
      <name val="Calibri (Body)"/>
    </font>
    <font>
      <b/>
      <sz val="12"/>
      <color theme="1"/>
      <name val="Calibri (Body)"/>
    </font>
    <font>
      <sz val="11"/>
      <color rgb="FF9C0006"/>
      <name val="Calibri"/>
      <family val="2"/>
      <scheme val="minor"/>
    </font>
    <font>
      <sz val="11"/>
      <color rgb="FF9C5700"/>
      <name val="Calibri"/>
      <family val="2"/>
      <scheme val="minor"/>
    </font>
    <font>
      <b/>
      <sz val="10"/>
      <color theme="1"/>
      <name val="Calibri"/>
      <family val="2"/>
      <scheme val="minor"/>
    </font>
    <font>
      <sz val="10"/>
      <color theme="1"/>
      <name val="Calibri"/>
      <family val="2"/>
      <scheme val="minor"/>
    </font>
    <font>
      <sz val="10"/>
      <color rgb="FF9C5700"/>
      <name val="Calibri"/>
      <family val="2"/>
      <scheme val="minor"/>
    </font>
    <font>
      <sz val="10"/>
      <name val="Calibri"/>
      <family val="2"/>
      <scheme val="minor"/>
    </font>
    <font>
      <sz val="9"/>
      <color rgb="FF9C0006"/>
      <name val="Calibri"/>
      <family val="2"/>
      <scheme val="minor"/>
    </font>
    <font>
      <sz val="9"/>
      <color rgb="FF9C5700"/>
      <name val="Calibri"/>
      <family val="2"/>
      <scheme val="minor"/>
    </font>
    <font>
      <b/>
      <sz val="14"/>
      <color theme="1"/>
      <name val="Calibri"/>
      <family val="2"/>
      <scheme val="minor"/>
    </font>
    <font>
      <b/>
      <u/>
      <sz val="11"/>
      <color theme="1"/>
      <name val="Calibri"/>
      <family val="2"/>
      <scheme val="minor"/>
    </font>
    <font>
      <u/>
      <sz val="11"/>
      <color theme="1"/>
      <name val="Calibri"/>
      <family val="2"/>
      <scheme val="minor"/>
    </font>
    <font>
      <i/>
      <sz val="10"/>
      <color theme="1"/>
      <name val="Calibri"/>
      <family val="2"/>
      <scheme val="minor"/>
    </font>
    <font>
      <i/>
      <sz val="11"/>
      <color theme="1"/>
      <name val="Calibri"/>
      <family val="2"/>
      <scheme val="minor"/>
    </font>
    <font>
      <sz val="11"/>
      <color rgb="FFC00000"/>
      <name val="Calibri"/>
      <family val="2"/>
      <scheme val="minor"/>
    </font>
    <font>
      <sz val="8"/>
      <name val="Calibri"/>
      <family val="2"/>
      <scheme val="minor"/>
    </font>
    <font>
      <sz val="8"/>
      <color rgb="FFC00000"/>
      <name val="Calibri"/>
      <family val="2"/>
      <scheme val="minor"/>
    </font>
    <font>
      <b/>
      <sz val="11"/>
      <color rgb="FFFFC000"/>
      <name val="Calibri (Body)"/>
    </font>
  </fonts>
  <fills count="13">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C7CE"/>
      </patternFill>
    </fill>
    <fill>
      <patternFill patternType="solid">
        <fgColor rgb="FFFFEB9C"/>
      </patternFill>
    </fill>
    <fill>
      <patternFill patternType="solid">
        <fgColor rgb="FFFFFF00"/>
        <bgColor indexed="64"/>
      </patternFill>
    </fill>
    <fill>
      <patternFill patternType="solid">
        <fgColor theme="2" tint="-9.9978637043366805E-2"/>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hair">
        <color theme="0" tint="-0.24994659260841701"/>
      </top>
      <bottom style="hair">
        <color theme="0" tint="-0.24994659260841701"/>
      </bottom>
      <diagonal/>
    </border>
    <border>
      <left style="thin">
        <color indexed="64"/>
      </left>
      <right style="thin">
        <color indexed="64"/>
      </right>
      <top style="hair">
        <color theme="0" tint="-0.24994659260841701"/>
      </top>
      <bottom style="thin">
        <color indexed="64"/>
      </bottom>
      <diagonal/>
    </border>
    <border>
      <left/>
      <right style="thin">
        <color indexed="64"/>
      </right>
      <top style="thin">
        <color indexed="64"/>
      </top>
      <bottom/>
      <diagonal/>
    </border>
    <border>
      <left style="thin">
        <color auto="1"/>
      </left>
      <right/>
      <top style="thin">
        <color auto="1"/>
      </top>
      <bottom/>
      <diagonal/>
    </border>
    <border>
      <left style="thin">
        <color auto="1"/>
      </left>
      <right/>
      <top style="thin">
        <color indexed="64"/>
      </top>
      <bottom style="hair">
        <color theme="0" tint="-0.24994659260841701"/>
      </bottom>
      <diagonal/>
    </border>
    <border>
      <left/>
      <right/>
      <top style="thin">
        <color indexed="64"/>
      </top>
      <bottom style="hair">
        <color theme="0" tint="-0.24994659260841701"/>
      </bottom>
      <diagonal/>
    </border>
    <border>
      <left/>
      <right style="thin">
        <color indexed="64"/>
      </right>
      <top style="thin">
        <color indexed="64"/>
      </top>
      <bottom style="hair">
        <color theme="0" tint="-0.24994659260841701"/>
      </bottom>
      <diagonal/>
    </border>
    <border>
      <left style="thin">
        <color auto="1"/>
      </left>
      <right style="thin">
        <color auto="1"/>
      </right>
      <top style="thin">
        <color indexed="64"/>
      </top>
      <bottom style="hair">
        <color theme="0" tint="-0.24994659260841701"/>
      </bottom>
      <diagonal/>
    </border>
    <border>
      <left style="thin">
        <color auto="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thin">
        <color indexed="64"/>
      </right>
      <top style="hair">
        <color theme="0" tint="-0.24994659260841701"/>
      </top>
      <bottom style="hair">
        <color theme="0" tint="-0.24994659260841701"/>
      </bottom>
      <diagonal/>
    </border>
    <border>
      <left style="thin">
        <color auto="1"/>
      </left>
      <right/>
      <top style="hair">
        <color theme="0" tint="-0.24994659260841701"/>
      </top>
      <bottom style="thin">
        <color indexed="64"/>
      </bottom>
      <diagonal/>
    </border>
    <border>
      <left/>
      <right/>
      <top style="hair">
        <color theme="0" tint="-0.24994659260841701"/>
      </top>
      <bottom style="thin">
        <color indexed="64"/>
      </bottom>
      <diagonal/>
    </border>
    <border>
      <left/>
      <right style="thin">
        <color indexed="64"/>
      </right>
      <top style="hair">
        <color theme="0" tint="-0.24994659260841701"/>
      </top>
      <bottom style="thin">
        <color indexed="64"/>
      </bottom>
      <diagonal/>
    </border>
    <border>
      <left style="hair">
        <color theme="0" tint="-0.34998626667073579"/>
      </left>
      <right style="thin">
        <color auto="1"/>
      </right>
      <top style="thin">
        <color indexed="64"/>
      </top>
      <bottom style="hair">
        <color theme="0" tint="-0.24994659260841701"/>
      </bottom>
      <diagonal/>
    </border>
    <border>
      <left style="hair">
        <color theme="0" tint="-0.34998626667073579"/>
      </left>
      <right style="thin">
        <color auto="1"/>
      </right>
      <top style="hair">
        <color theme="0" tint="-0.24994659260841701"/>
      </top>
      <bottom style="thin">
        <color indexed="64"/>
      </bottom>
      <diagonal/>
    </border>
    <border>
      <left style="thin">
        <color auto="1"/>
      </left>
      <right/>
      <top/>
      <bottom style="hair">
        <color theme="0" tint="-0.24994659260841701"/>
      </bottom>
      <diagonal/>
    </border>
    <border>
      <left/>
      <right/>
      <top/>
      <bottom style="hair">
        <color theme="0" tint="-0.24994659260841701"/>
      </bottom>
      <diagonal/>
    </border>
    <border>
      <left style="thin">
        <color indexed="64"/>
      </left>
      <right style="thin">
        <color indexed="64"/>
      </right>
      <top/>
      <bottom style="hair">
        <color theme="0" tint="-0.24994659260841701"/>
      </bottom>
      <diagonal/>
    </border>
    <border>
      <left/>
      <right style="thin">
        <color indexed="64"/>
      </right>
      <top/>
      <bottom style="hair">
        <color theme="0" tint="-0.24994659260841701"/>
      </bottom>
      <diagonal/>
    </border>
    <border>
      <left style="thin">
        <color auto="1"/>
      </left>
      <right/>
      <top/>
      <bottom/>
      <diagonal/>
    </border>
    <border>
      <left/>
      <right/>
      <top style="hair">
        <color theme="0" tint="-0.24994659260841701"/>
      </top>
      <bottom/>
      <diagonal/>
    </border>
    <border>
      <left style="thin">
        <color indexed="64"/>
      </left>
      <right style="thin">
        <color indexed="64"/>
      </right>
      <top style="hair">
        <color theme="0" tint="-0.2499465926084170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hair">
        <color theme="0" tint="-0.24994659260841701"/>
      </top>
      <bottom/>
      <diagonal/>
    </border>
    <border>
      <left/>
      <right style="thin">
        <color indexed="64"/>
      </right>
      <top style="hair">
        <color theme="0" tint="-0.24994659260841701"/>
      </top>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3">
    <xf numFmtId="0" fontId="0" fillId="0" borderId="0"/>
    <xf numFmtId="0" fontId="17" fillId="9" borderId="0" applyNumberFormat="0" applyBorder="0" applyAlignment="0" applyProtection="0"/>
    <xf numFmtId="0" fontId="18" fillId="10" borderId="0" applyNumberFormat="0" applyBorder="0" applyAlignment="0" applyProtection="0"/>
  </cellStyleXfs>
  <cellXfs count="280">
    <xf numFmtId="0" fontId="0" fillId="0" borderId="0" xfId="0"/>
    <xf numFmtId="0" fontId="0" fillId="0" borderId="0" xfId="0" applyAlignment="1">
      <alignment horizontal="left"/>
    </xf>
    <xf numFmtId="0" fontId="0" fillId="2" borderId="0" xfId="0" applyFill="1" applyAlignment="1">
      <alignment horizontal="left"/>
    </xf>
    <xf numFmtId="0" fontId="0" fillId="2" borderId="0" xfId="0" applyFill="1"/>
    <xf numFmtId="0" fontId="7" fillId="0" borderId="0" xfId="0" applyFont="1"/>
    <xf numFmtId="0" fontId="0" fillId="2" borderId="0" xfId="0" applyFill="1" applyAlignment="1">
      <alignment horizontal="left" vertical="center"/>
    </xf>
    <xf numFmtId="0" fontId="7" fillId="2" borderId="0" xfId="0" applyFont="1" applyFill="1" applyAlignment="1">
      <alignment horizontal="center" vertical="center"/>
    </xf>
    <xf numFmtId="0" fontId="7" fillId="2" borderId="0" xfId="0" applyFont="1" applyFill="1"/>
    <xf numFmtId="0" fontId="7" fillId="2" borderId="28" xfId="0" applyFont="1" applyFill="1" applyBorder="1" applyAlignment="1">
      <alignment horizontal="center" vertical="top"/>
    </xf>
    <xf numFmtId="0" fontId="0" fillId="2" borderId="29" xfId="0" applyFill="1" applyBorder="1" applyAlignment="1">
      <alignment vertical="center"/>
    </xf>
    <xf numFmtId="0" fontId="0" fillId="2" borderId="32" xfId="0" applyFill="1" applyBorder="1" applyAlignment="1">
      <alignment vertical="center"/>
    </xf>
    <xf numFmtId="0" fontId="9" fillId="8" borderId="2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24" xfId="0" applyFont="1" applyFill="1" applyBorder="1" applyAlignment="1">
      <alignment horizontal="center" vertical="center"/>
    </xf>
    <xf numFmtId="0" fontId="0" fillId="2" borderId="25" xfId="0" applyFill="1" applyBorder="1" applyAlignment="1">
      <alignment horizontal="left" vertical="center"/>
    </xf>
    <xf numFmtId="0" fontId="7" fillId="2" borderId="28" xfId="0" applyFont="1" applyFill="1" applyBorder="1" applyAlignment="1">
      <alignment horizontal="center" vertical="center"/>
    </xf>
    <xf numFmtId="0" fontId="0" fillId="2" borderId="29" xfId="0" applyFill="1" applyBorder="1" applyAlignment="1">
      <alignment horizontal="left" vertical="center"/>
    </xf>
    <xf numFmtId="164" fontId="1" fillId="8" borderId="20" xfId="0" applyNumberFormat="1" applyFont="1" applyFill="1" applyBorder="1" applyAlignment="1">
      <alignment horizontal="center" vertical="center"/>
    </xf>
    <xf numFmtId="0" fontId="1" fillId="2" borderId="0" xfId="0" applyFont="1" applyFill="1" applyAlignment="1">
      <alignment horizontal="center" vertical="center"/>
    </xf>
    <xf numFmtId="0" fontId="1" fillId="7" borderId="2" xfId="0" applyFont="1" applyFill="1" applyBorder="1" applyAlignment="1">
      <alignment horizontal="center" vertical="center"/>
    </xf>
    <xf numFmtId="0" fontId="9" fillId="4" borderId="14" xfId="0" applyFont="1" applyFill="1" applyBorder="1" applyAlignment="1">
      <alignment horizontal="center" vertical="center"/>
    </xf>
    <xf numFmtId="0" fontId="1" fillId="6" borderId="2" xfId="0" applyFont="1" applyFill="1" applyBorder="1" applyAlignment="1" applyProtection="1">
      <alignment horizontal="center" vertical="center"/>
      <protection locked="0"/>
    </xf>
    <xf numFmtId="164" fontId="1" fillId="8" borderId="20" xfId="0" applyNumberFormat="1" applyFont="1" applyFill="1" applyBorder="1" applyAlignment="1">
      <alignment horizontal="center" vertical="center" wrapText="1"/>
    </xf>
    <xf numFmtId="0" fontId="1" fillId="8" borderId="20" xfId="0" applyFont="1" applyFill="1" applyBorder="1" applyAlignment="1">
      <alignment horizontal="center" vertical="center"/>
    </xf>
    <xf numFmtId="0" fontId="1" fillId="0" borderId="0" xfId="0" applyFont="1" applyAlignment="1">
      <alignment horizontal="center" vertical="center"/>
    </xf>
    <xf numFmtId="164" fontId="9" fillId="8" borderId="20" xfId="0" applyNumberFormat="1" applyFont="1" applyFill="1" applyBorder="1" applyAlignment="1">
      <alignment horizontal="center" vertical="center"/>
    </xf>
    <xf numFmtId="164" fontId="1" fillId="2" borderId="0" xfId="0" applyNumberFormat="1" applyFont="1" applyFill="1" applyAlignment="1" applyProtection="1">
      <alignment horizontal="center" vertical="center"/>
      <protection locked="0"/>
    </xf>
    <xf numFmtId="1" fontId="13" fillId="0" borderId="40" xfId="0" applyNumberFormat="1" applyFont="1" applyBorder="1" applyAlignment="1">
      <alignment horizontal="center" vertical="center"/>
    </xf>
    <xf numFmtId="1" fontId="0" fillId="0" borderId="40" xfId="0" applyNumberFormat="1" applyBorder="1" applyAlignment="1">
      <alignment horizontal="center" vertical="center"/>
    </xf>
    <xf numFmtId="0" fontId="0" fillId="0" borderId="40" xfId="0" applyBorder="1" applyAlignment="1">
      <alignment horizontal="center" vertical="center"/>
    </xf>
    <xf numFmtId="0" fontId="0" fillId="2" borderId="24" xfId="0" applyFill="1" applyBorder="1" applyAlignment="1">
      <alignment horizontal="center" vertical="center"/>
    </xf>
    <xf numFmtId="0" fontId="1" fillId="2" borderId="32" xfId="0" applyFont="1" applyFill="1" applyBorder="1" applyAlignment="1">
      <alignment horizontal="left" vertical="center" wrapText="1"/>
    </xf>
    <xf numFmtId="0" fontId="1" fillId="2" borderId="29" xfId="0" applyFont="1" applyFill="1" applyBorder="1" applyAlignment="1">
      <alignment horizontal="left" vertical="center" wrapText="1"/>
    </xf>
    <xf numFmtId="49" fontId="1" fillId="8" borderId="20" xfId="0" applyNumberFormat="1" applyFont="1" applyFill="1" applyBorder="1" applyAlignment="1">
      <alignment horizontal="center" vertical="center"/>
    </xf>
    <xf numFmtId="0" fontId="1" fillId="2" borderId="0" xfId="0" applyFont="1" applyFill="1" applyAlignment="1" applyProtection="1">
      <alignment horizontal="center" vertical="center"/>
      <protection hidden="1"/>
    </xf>
    <xf numFmtId="0" fontId="1" fillId="7" borderId="2" xfId="0" applyFont="1" applyFill="1" applyBorder="1" applyAlignment="1" applyProtection="1">
      <alignment horizontal="center" vertical="center"/>
      <protection hidden="1"/>
    </xf>
    <xf numFmtId="1" fontId="9" fillId="4" borderId="14" xfId="0" applyNumberFormat="1" applyFont="1" applyFill="1" applyBorder="1" applyAlignment="1" applyProtection="1">
      <alignment horizontal="center" vertical="center"/>
      <protection hidden="1"/>
    </xf>
    <xf numFmtId="1" fontId="1" fillId="2" borderId="27" xfId="0" applyNumberFormat="1" applyFont="1" applyFill="1" applyBorder="1" applyAlignment="1" applyProtection="1">
      <alignment horizontal="center" vertical="center"/>
      <protection hidden="1"/>
    </xf>
    <xf numFmtId="1" fontId="1" fillId="8" borderId="20" xfId="0" applyNumberFormat="1" applyFont="1" applyFill="1" applyBorder="1" applyAlignment="1" applyProtection="1">
      <alignment horizontal="center" vertical="center"/>
      <protection hidden="1"/>
    </xf>
    <xf numFmtId="1" fontId="1" fillId="0" borderId="20" xfId="0" applyNumberFormat="1" applyFont="1" applyBorder="1" applyAlignment="1" applyProtection="1">
      <alignment horizontal="center" vertical="center"/>
      <protection hidden="1"/>
    </xf>
    <xf numFmtId="1" fontId="1" fillId="0" borderId="21" xfId="0" applyNumberFormat="1" applyFont="1" applyBorder="1" applyAlignment="1" applyProtection="1">
      <alignment horizontal="center" vertical="center"/>
      <protection hidden="1"/>
    </xf>
    <xf numFmtId="1" fontId="9" fillId="6" borderId="14" xfId="0" applyNumberFormat="1" applyFont="1" applyFill="1" applyBorder="1" applyAlignment="1" applyProtection="1">
      <alignment horizontal="center" vertical="center"/>
      <protection hidden="1"/>
    </xf>
    <xf numFmtId="1" fontId="1" fillId="2" borderId="26" xfId="0" applyNumberFormat="1" applyFont="1" applyFill="1" applyBorder="1" applyAlignment="1" applyProtection="1">
      <alignment horizontal="center" vertical="center"/>
      <protection hidden="1"/>
    </xf>
    <xf numFmtId="1" fontId="1" fillId="8" borderId="30" xfId="0" applyNumberFormat="1" applyFont="1" applyFill="1" applyBorder="1" applyAlignment="1" applyProtection="1">
      <alignment horizontal="center" vertical="center"/>
      <protection hidden="1"/>
    </xf>
    <xf numFmtId="1" fontId="1" fillId="2" borderId="30" xfId="0" applyNumberFormat="1" applyFont="1" applyFill="1" applyBorder="1" applyAlignment="1" applyProtection="1">
      <alignment horizontal="center" vertical="center"/>
      <protection hidden="1"/>
    </xf>
    <xf numFmtId="1" fontId="1" fillId="0" borderId="27" xfId="0" applyNumberFormat="1" applyFont="1" applyBorder="1" applyAlignment="1" applyProtection="1">
      <alignment horizontal="center" vertical="center"/>
      <protection hidden="1"/>
    </xf>
    <xf numFmtId="0" fontId="1" fillId="8" borderId="20" xfId="0" applyFont="1" applyFill="1" applyBorder="1" applyAlignment="1" applyProtection="1">
      <alignment horizontal="center" vertical="center"/>
      <protection hidden="1"/>
    </xf>
    <xf numFmtId="0" fontId="1" fillId="0" borderId="20" xfId="0" applyFont="1" applyBorder="1" applyAlignment="1" applyProtection="1">
      <alignment horizontal="center" vertical="center"/>
      <protection hidden="1"/>
    </xf>
    <xf numFmtId="1" fontId="1" fillId="2" borderId="20" xfId="0" applyNumberFormat="1" applyFont="1" applyFill="1" applyBorder="1" applyAlignment="1" applyProtection="1">
      <alignment horizontal="center" vertical="center"/>
      <protection hidden="1"/>
    </xf>
    <xf numFmtId="1" fontId="1" fillId="2" borderId="21" xfId="0" applyNumberFormat="1" applyFont="1" applyFill="1" applyBorder="1" applyAlignment="1" applyProtection="1">
      <alignment horizontal="center" vertical="center"/>
      <protection hidden="1"/>
    </xf>
    <xf numFmtId="1" fontId="1" fillId="0" borderId="30" xfId="0" applyNumberFormat="1" applyFont="1" applyBorder="1" applyAlignment="1" applyProtection="1">
      <alignment horizontal="center" vertical="center"/>
      <protection hidden="1"/>
    </xf>
    <xf numFmtId="1" fontId="1" fillId="2" borderId="34" xfId="0" applyNumberFormat="1" applyFont="1" applyFill="1" applyBorder="1" applyAlignment="1" applyProtection="1">
      <alignment horizontal="center" vertical="center"/>
      <protection hidden="1"/>
    </xf>
    <xf numFmtId="1" fontId="1" fillId="0" borderId="35" xfId="0" applyNumberFormat="1" applyFont="1" applyBorder="1" applyAlignment="1" applyProtection="1">
      <alignment horizontal="center" vertical="center"/>
      <protection hidden="1"/>
    </xf>
    <xf numFmtId="1" fontId="1" fillId="0" borderId="38" xfId="0" applyNumberFormat="1" applyFont="1" applyBorder="1" applyAlignment="1" applyProtection="1">
      <alignment horizontal="center" vertical="center"/>
      <protection hidden="1"/>
    </xf>
    <xf numFmtId="0" fontId="9" fillId="8" borderId="20" xfId="0" applyFont="1" applyFill="1" applyBorder="1" applyAlignment="1" applyProtection="1">
      <alignment horizontal="center" vertical="center"/>
      <protection hidden="1"/>
    </xf>
    <xf numFmtId="164" fontId="1" fillId="8" borderId="20" xfId="0" applyNumberFormat="1" applyFont="1" applyFill="1" applyBorder="1" applyAlignment="1" applyProtection="1">
      <alignment horizontal="center" vertical="center"/>
      <protection hidden="1"/>
    </xf>
    <xf numFmtId="164" fontId="9" fillId="8" borderId="20" xfId="0" applyNumberFormat="1" applyFont="1" applyFill="1" applyBorder="1" applyAlignment="1" applyProtection="1">
      <alignment horizontal="center" vertical="center"/>
      <protection hidden="1"/>
    </xf>
    <xf numFmtId="0" fontId="1" fillId="2" borderId="0" xfId="0" applyFont="1" applyFill="1" applyProtection="1">
      <protection hidden="1"/>
    </xf>
    <xf numFmtId="0" fontId="14" fillId="2" borderId="0" xfId="0" applyFont="1" applyFill="1" applyAlignment="1" applyProtection="1">
      <alignment horizontal="right"/>
      <protection hidden="1"/>
    </xf>
    <xf numFmtId="1" fontId="8" fillId="2" borderId="0" xfId="0" applyNumberFormat="1" applyFont="1" applyFill="1" applyProtection="1">
      <protection hidden="1"/>
    </xf>
    <xf numFmtId="1" fontId="14" fillId="2" borderId="0" xfId="0" applyNumberFormat="1" applyFont="1" applyFill="1" applyProtection="1">
      <protection hidden="1"/>
    </xf>
    <xf numFmtId="0" fontId="8" fillId="2" borderId="0" xfId="0" applyFont="1" applyFill="1" applyProtection="1">
      <protection hidden="1"/>
    </xf>
    <xf numFmtId="0" fontId="1" fillId="0" borderId="0" xfId="0" applyFont="1" applyAlignment="1" applyProtection="1">
      <alignment horizontal="center" vertical="center"/>
      <protection hidden="1"/>
    </xf>
    <xf numFmtId="164" fontId="1" fillId="2" borderId="0" xfId="0" applyNumberFormat="1" applyFont="1" applyFill="1" applyAlignment="1" applyProtection="1">
      <alignment horizontal="center" vertical="center"/>
      <protection hidden="1"/>
    </xf>
    <xf numFmtId="1" fontId="1" fillId="8" borderId="38" xfId="0" applyNumberFormat="1" applyFont="1" applyFill="1" applyBorder="1" applyAlignment="1" applyProtection="1">
      <alignment horizontal="center" vertical="center"/>
      <protection hidden="1"/>
    </xf>
    <xf numFmtId="0" fontId="1" fillId="0" borderId="20" xfId="0" applyFont="1" applyBorder="1" applyAlignment="1" applyProtection="1">
      <alignment horizontal="center" vertical="center" wrapText="1"/>
      <protection hidden="1"/>
    </xf>
    <xf numFmtId="1" fontId="9" fillId="2" borderId="0" xfId="0" applyNumberFormat="1" applyFont="1" applyFill="1" applyAlignment="1" applyProtection="1">
      <alignment horizontal="center" vertical="center"/>
      <protection hidden="1"/>
    </xf>
    <xf numFmtId="0" fontId="0" fillId="2" borderId="29" xfId="0" applyFill="1" applyBorder="1" applyAlignment="1">
      <alignment horizontal="left" vertical="center" wrapText="1"/>
    </xf>
    <xf numFmtId="0" fontId="0" fillId="2" borderId="29" xfId="0" applyFill="1" applyBorder="1" applyAlignment="1">
      <alignment horizontal="left" vertical="top" wrapText="1"/>
    </xf>
    <xf numFmtId="0" fontId="0" fillId="2" borderId="32" xfId="0" applyFill="1" applyBorder="1" applyAlignment="1">
      <alignment horizontal="left" vertical="center" wrapText="1"/>
    </xf>
    <xf numFmtId="0" fontId="0" fillId="2" borderId="0" xfId="0" applyFill="1" applyAlignment="1">
      <alignment vertical="center"/>
    </xf>
    <xf numFmtId="0" fontId="7" fillId="7" borderId="1" xfId="0" applyFont="1" applyFill="1" applyBorder="1" applyAlignment="1">
      <alignment vertical="center"/>
    </xf>
    <xf numFmtId="0" fontId="0" fillId="7" borderId="2" xfId="0" applyFill="1" applyBorder="1" applyAlignment="1">
      <alignment vertical="center"/>
    </xf>
    <xf numFmtId="0" fontId="0" fillId="7" borderId="2" xfId="0" applyFill="1" applyBorder="1" applyAlignment="1">
      <alignment horizontal="left" vertical="center"/>
    </xf>
    <xf numFmtId="0" fontId="0" fillId="0" borderId="0" xfId="0" applyAlignment="1">
      <alignment vertical="center"/>
    </xf>
    <xf numFmtId="0" fontId="7" fillId="0" borderId="0" xfId="0" applyFont="1" applyAlignment="1">
      <alignment vertical="center"/>
    </xf>
    <xf numFmtId="0" fontId="7" fillId="4" borderId="3" xfId="0" applyFont="1" applyFill="1" applyBorder="1" applyAlignment="1">
      <alignment vertical="center"/>
    </xf>
    <xf numFmtId="0" fontId="7" fillId="2" borderId="25" xfId="0" applyFont="1" applyFill="1" applyBorder="1" applyAlignment="1">
      <alignment horizontal="left" vertical="center"/>
    </xf>
    <xf numFmtId="0" fontId="7" fillId="2" borderId="29" xfId="0" applyFont="1" applyFill="1" applyBorder="1" applyAlignment="1">
      <alignment horizontal="left" vertical="center"/>
    </xf>
    <xf numFmtId="0" fontId="7" fillId="2" borderId="29" xfId="0" applyFont="1" applyFill="1" applyBorder="1" applyAlignment="1">
      <alignment vertical="center"/>
    </xf>
    <xf numFmtId="0" fontId="7" fillId="2" borderId="0" xfId="0" applyFont="1" applyFill="1" applyAlignment="1">
      <alignment vertical="center"/>
    </xf>
    <xf numFmtId="0" fontId="0" fillId="0" borderId="29" xfId="0" applyBorder="1" applyAlignment="1">
      <alignment vertical="center"/>
    </xf>
    <xf numFmtId="0" fontId="7" fillId="2" borderId="31" xfId="0" applyFont="1" applyFill="1" applyBorder="1" applyAlignment="1">
      <alignment vertical="center"/>
    </xf>
    <xf numFmtId="0" fontId="0" fillId="0" borderId="32" xfId="0" applyBorder="1" applyAlignment="1">
      <alignment vertical="center"/>
    </xf>
    <xf numFmtId="0" fontId="7" fillId="6" borderId="1" xfId="0" applyFont="1" applyFill="1" applyBorder="1" applyAlignment="1">
      <alignment vertical="center"/>
    </xf>
    <xf numFmtId="0" fontId="0" fillId="6" borderId="2" xfId="0" applyFill="1" applyBorder="1" applyAlignment="1">
      <alignment vertical="center"/>
    </xf>
    <xf numFmtId="0" fontId="7" fillId="4" borderId="15" xfId="0" applyFont="1" applyFill="1" applyBorder="1" applyAlignment="1">
      <alignment vertical="center"/>
    </xf>
    <xf numFmtId="0" fontId="7" fillId="2" borderId="28" xfId="0" applyFont="1" applyFill="1" applyBorder="1" applyAlignment="1">
      <alignment vertical="center"/>
    </xf>
    <xf numFmtId="0" fontId="0" fillId="2" borderId="25" xfId="0" applyFill="1" applyBorder="1" applyAlignment="1">
      <alignment vertical="center"/>
    </xf>
    <xf numFmtId="0" fontId="7" fillId="4" borderId="1" xfId="0" applyFont="1" applyFill="1" applyBorder="1" applyAlignment="1">
      <alignment vertical="center"/>
    </xf>
    <xf numFmtId="0" fontId="7" fillId="4" borderId="2" xfId="0" applyFont="1" applyFill="1" applyBorder="1" applyAlignment="1">
      <alignment vertical="center"/>
    </xf>
    <xf numFmtId="0" fontId="0" fillId="2" borderId="29" xfId="0" applyFill="1" applyBorder="1" applyAlignment="1">
      <alignment vertical="center" wrapText="1"/>
    </xf>
    <xf numFmtId="0" fontId="12" fillId="0" borderId="40" xfId="0" applyFont="1" applyBorder="1" applyAlignment="1">
      <alignment horizontal="center" vertical="center"/>
    </xf>
    <xf numFmtId="0" fontId="0" fillId="2" borderId="32" xfId="0" applyFill="1" applyBorder="1" applyAlignment="1">
      <alignment horizontal="left" vertical="center"/>
    </xf>
    <xf numFmtId="0" fontId="7" fillId="2" borderId="36" xfId="0" applyFont="1" applyFill="1" applyBorder="1" applyAlignment="1">
      <alignment horizontal="center" vertical="center"/>
    </xf>
    <xf numFmtId="0" fontId="7" fillId="8" borderId="30" xfId="0" applyFont="1" applyFill="1" applyBorder="1" applyAlignment="1">
      <alignment vertical="center"/>
    </xf>
    <xf numFmtId="0" fontId="0" fillId="0" borderId="29" xfId="0" applyBorder="1" applyAlignment="1">
      <alignment horizontal="left" vertical="center"/>
    </xf>
    <xf numFmtId="0" fontId="2" fillId="0" borderId="0" xfId="0" applyFont="1" applyAlignment="1">
      <alignment vertical="center"/>
    </xf>
    <xf numFmtId="0" fontId="9" fillId="2" borderId="29" xfId="0" applyFont="1" applyFill="1" applyBorder="1" applyAlignment="1">
      <alignment vertical="center"/>
    </xf>
    <xf numFmtId="0" fontId="1" fillId="2" borderId="29" xfId="0" applyFont="1" applyFill="1" applyBorder="1" applyAlignment="1">
      <alignment horizontal="left" vertical="center"/>
    </xf>
    <xf numFmtId="0" fontId="5" fillId="2" borderId="29" xfId="0" applyFont="1" applyFill="1" applyBorder="1" applyAlignment="1">
      <alignment horizontal="left" vertical="center"/>
    </xf>
    <xf numFmtId="0" fontId="0" fillId="2" borderId="26" xfId="0" applyFill="1" applyBorder="1" applyAlignment="1" applyProtection="1">
      <alignment vertical="center"/>
      <protection locked="0"/>
    </xf>
    <xf numFmtId="0" fontId="0" fillId="0" borderId="41" xfId="0" applyBorder="1" applyAlignment="1">
      <alignment vertical="center"/>
    </xf>
    <xf numFmtId="0" fontId="7" fillId="4" borderId="1" xfId="0" applyFont="1" applyFill="1" applyBorder="1" applyAlignment="1">
      <alignment horizontal="left" vertical="center"/>
    </xf>
    <xf numFmtId="0" fontId="7" fillId="4" borderId="2" xfId="0" applyFont="1" applyFill="1" applyBorder="1" applyAlignment="1">
      <alignment horizontal="left" vertical="center"/>
    </xf>
    <xf numFmtId="0" fontId="10" fillId="0" borderId="0" xfId="0" applyFont="1" applyAlignment="1">
      <alignment vertical="center"/>
    </xf>
    <xf numFmtId="0" fontId="0" fillId="2" borderId="0" xfId="0" applyFill="1" applyAlignment="1">
      <alignment vertical="center" wrapText="1"/>
    </xf>
    <xf numFmtId="0" fontId="0" fillId="2" borderId="0" xfId="0" applyFill="1" applyAlignment="1">
      <alignment wrapText="1"/>
    </xf>
    <xf numFmtId="0" fontId="0" fillId="7" borderId="3" xfId="0" applyFill="1" applyBorder="1" applyAlignment="1">
      <alignment vertical="center"/>
    </xf>
    <xf numFmtId="0" fontId="0" fillId="8" borderId="30" xfId="0" applyFill="1" applyBorder="1" applyAlignment="1">
      <alignment vertical="center"/>
    </xf>
    <xf numFmtId="0" fontId="0" fillId="0" borderId="30" xfId="0" applyBorder="1" applyAlignment="1" applyProtection="1">
      <alignment vertical="center"/>
      <protection locked="0"/>
    </xf>
    <xf numFmtId="0" fontId="0" fillId="2" borderId="33" xfId="0" applyFill="1" applyBorder="1" applyAlignment="1" applyProtection="1">
      <alignment vertical="center"/>
      <protection locked="0"/>
    </xf>
    <xf numFmtId="0" fontId="0" fillId="6" borderId="3" xfId="0" applyFill="1" applyBorder="1" applyAlignment="1">
      <alignment vertical="center"/>
    </xf>
    <xf numFmtId="0" fontId="0" fillId="2" borderId="30" xfId="0" applyFill="1" applyBorder="1" applyAlignment="1" applyProtection="1">
      <alignment vertical="center"/>
      <protection locked="0"/>
    </xf>
    <xf numFmtId="0" fontId="0" fillId="0" borderId="27" xfId="0" applyBorder="1" applyAlignment="1" applyProtection="1">
      <alignment vertical="center"/>
      <protection locked="0"/>
    </xf>
    <xf numFmtId="0" fontId="0" fillId="0" borderId="20" xfId="0" applyBorder="1" applyAlignment="1" applyProtection="1">
      <alignment vertical="center"/>
      <protection locked="0"/>
    </xf>
    <xf numFmtId="0" fontId="0" fillId="2" borderId="20" xfId="0" applyFill="1" applyBorder="1" applyAlignment="1" applyProtection="1">
      <alignment vertical="center"/>
      <protection locked="0"/>
    </xf>
    <xf numFmtId="0" fontId="0" fillId="2" borderId="21" xfId="0" applyFill="1" applyBorder="1" applyAlignment="1" applyProtection="1">
      <alignment vertical="center"/>
      <protection locked="0"/>
    </xf>
    <xf numFmtId="0" fontId="0" fillId="2" borderId="38" xfId="0" applyFill="1" applyBorder="1" applyAlignment="1" applyProtection="1">
      <alignment vertical="center" wrapText="1"/>
      <protection locked="0"/>
    </xf>
    <xf numFmtId="0" fontId="0" fillId="2" borderId="20" xfId="0" applyFill="1" applyBorder="1" applyAlignment="1" applyProtection="1">
      <alignment vertical="center" wrapText="1"/>
      <protection locked="0"/>
    </xf>
    <xf numFmtId="0" fontId="0" fillId="2" borderId="39" xfId="0" applyFill="1" applyBorder="1" applyAlignment="1" applyProtection="1">
      <alignment vertical="center"/>
      <protection locked="0"/>
    </xf>
    <xf numFmtId="0" fontId="0" fillId="8" borderId="20" xfId="0" applyFill="1" applyBorder="1" applyAlignment="1">
      <alignment vertical="center"/>
    </xf>
    <xf numFmtId="0" fontId="0" fillId="2" borderId="46" xfId="0" applyFill="1" applyBorder="1" applyAlignment="1" applyProtection="1">
      <alignment vertical="center"/>
      <protection locked="0"/>
    </xf>
    <xf numFmtId="0" fontId="0" fillId="2" borderId="26" xfId="0" applyFill="1" applyBorder="1" applyAlignment="1" applyProtection="1">
      <alignment vertical="center" wrapText="1"/>
      <protection locked="0"/>
    </xf>
    <xf numFmtId="0" fontId="0" fillId="2" borderId="20" xfId="0" applyFill="1" applyBorder="1" applyAlignment="1" applyProtection="1">
      <alignment horizontal="center" vertical="center"/>
      <protection locked="0"/>
    </xf>
    <xf numFmtId="0" fontId="0" fillId="0" borderId="33" xfId="0" applyBorder="1" applyAlignment="1" applyProtection="1">
      <alignment vertical="center"/>
      <protection locked="0"/>
    </xf>
    <xf numFmtId="0" fontId="0" fillId="8" borderId="39" xfId="0" applyFill="1" applyBorder="1" applyAlignment="1">
      <alignment vertical="center"/>
    </xf>
    <xf numFmtId="0" fontId="0" fillId="0" borderId="38" xfId="0" applyBorder="1" applyAlignment="1" applyProtection="1">
      <alignment vertical="center"/>
      <protection locked="0"/>
    </xf>
    <xf numFmtId="0" fontId="9" fillId="2" borderId="45" xfId="0" applyFont="1" applyFill="1" applyBorder="1" applyAlignment="1">
      <alignment horizontal="center" vertical="center"/>
    </xf>
    <xf numFmtId="0" fontId="1" fillId="2" borderId="41" xfId="0" applyFont="1" applyFill="1" applyBorder="1" applyAlignment="1">
      <alignment horizontal="left" vertical="center"/>
    </xf>
    <xf numFmtId="49" fontId="1" fillId="2" borderId="41" xfId="0" applyNumberFormat="1" applyFont="1" applyFill="1" applyBorder="1" applyAlignment="1">
      <alignment vertical="center"/>
    </xf>
    <xf numFmtId="49" fontId="1" fillId="2" borderId="41" xfId="0" applyNumberFormat="1" applyFont="1" applyFill="1" applyBorder="1" applyAlignment="1">
      <alignment vertical="center" wrapText="1"/>
    </xf>
    <xf numFmtId="0" fontId="1" fillId="2" borderId="32" xfId="0" applyFont="1" applyFill="1" applyBorder="1" applyAlignment="1">
      <alignment horizontal="left" vertical="center"/>
    </xf>
    <xf numFmtId="0" fontId="0" fillId="8" borderId="46" xfId="0" applyFill="1" applyBorder="1" applyAlignment="1">
      <alignment vertical="center"/>
    </xf>
    <xf numFmtId="0" fontId="7" fillId="2" borderId="45" xfId="0" applyFont="1" applyFill="1" applyBorder="1" applyAlignment="1">
      <alignment horizontal="center" vertical="center"/>
    </xf>
    <xf numFmtId="0" fontId="0" fillId="2" borderId="41" xfId="0" applyFill="1" applyBorder="1" applyAlignment="1">
      <alignment horizontal="left" vertical="center"/>
    </xf>
    <xf numFmtId="1" fontId="1" fillId="2" borderId="46" xfId="0" applyNumberFormat="1" applyFont="1" applyFill="1" applyBorder="1" applyAlignment="1" applyProtection="1">
      <alignment horizontal="center" vertical="center"/>
      <protection hidden="1"/>
    </xf>
    <xf numFmtId="0" fontId="0" fillId="2" borderId="42" xfId="0" applyFill="1" applyBorder="1" applyAlignment="1" applyProtection="1">
      <alignment vertical="center"/>
      <protection locked="0"/>
    </xf>
    <xf numFmtId="164" fontId="1" fillId="2" borderId="0" xfId="0" applyNumberFormat="1" applyFont="1" applyFill="1" applyAlignment="1">
      <alignment horizontal="center" vertical="center"/>
    </xf>
    <xf numFmtId="0" fontId="1" fillId="2" borderId="0" xfId="0" applyFont="1" applyFill="1"/>
    <xf numFmtId="0" fontId="14" fillId="2" borderId="0" xfId="0" applyFont="1" applyFill="1" applyAlignment="1">
      <alignment horizontal="left"/>
    </xf>
    <xf numFmtId="0" fontId="7" fillId="2" borderId="0" xfId="0" applyFont="1" applyFill="1" applyAlignment="1">
      <alignment horizontal="left"/>
    </xf>
    <xf numFmtId="0" fontId="14" fillId="2" borderId="0" xfId="0" applyFont="1" applyFill="1"/>
    <xf numFmtId="0" fontId="8" fillId="2" borderId="0" xfId="0" applyFont="1" applyFill="1"/>
    <xf numFmtId="0" fontId="0" fillId="2" borderId="27" xfId="0" applyFill="1" applyBorder="1" applyAlignment="1">
      <alignment horizontal="left" vertical="center"/>
    </xf>
    <xf numFmtId="0" fontId="7" fillId="8" borderId="20" xfId="0" applyFont="1" applyFill="1" applyBorder="1" applyAlignment="1">
      <alignment vertical="center"/>
    </xf>
    <xf numFmtId="0" fontId="0" fillId="2" borderId="38" xfId="0" applyFill="1" applyBorder="1" applyAlignment="1">
      <alignment horizontal="left" vertical="center"/>
    </xf>
    <xf numFmtId="1" fontId="18" fillId="10" borderId="20" xfId="2" applyNumberFormat="1" applyBorder="1" applyAlignment="1" applyProtection="1">
      <alignment horizontal="center" vertical="center"/>
      <protection locked="0"/>
    </xf>
    <xf numFmtId="1" fontId="9" fillId="4" borderId="3" xfId="0" applyNumberFormat="1" applyFont="1" applyFill="1" applyBorder="1" applyAlignment="1" applyProtection="1">
      <alignment horizontal="center" vertical="center"/>
      <protection hidden="1"/>
    </xf>
    <xf numFmtId="1" fontId="1" fillId="8" borderId="39" xfId="0" applyNumberFormat="1" applyFont="1" applyFill="1" applyBorder="1" applyAlignment="1" applyProtection="1">
      <alignment horizontal="center" vertical="center"/>
      <protection hidden="1"/>
    </xf>
    <xf numFmtId="1" fontId="1" fillId="0" borderId="46" xfId="0" applyNumberFormat="1" applyFont="1" applyBorder="1" applyAlignment="1" applyProtection="1">
      <alignment horizontal="center" vertical="center"/>
      <protection hidden="1"/>
    </xf>
    <xf numFmtId="1" fontId="9" fillId="6" borderId="3" xfId="0" applyNumberFormat="1" applyFont="1" applyFill="1" applyBorder="1" applyAlignment="1" applyProtection="1">
      <alignment horizontal="center" vertical="center"/>
      <protection hidden="1"/>
    </xf>
    <xf numFmtId="0" fontId="1" fillId="8" borderId="30" xfId="0" applyFont="1" applyFill="1" applyBorder="1" applyAlignment="1" applyProtection="1">
      <alignment horizontal="center" vertical="center"/>
      <protection hidden="1"/>
    </xf>
    <xf numFmtId="0" fontId="1" fillId="0" borderId="30" xfId="0" applyFont="1" applyBorder="1" applyAlignment="1" applyProtection="1">
      <alignment horizontal="center" vertical="center"/>
      <protection hidden="1"/>
    </xf>
    <xf numFmtId="1" fontId="1" fillId="0" borderId="39" xfId="0" applyNumberFormat="1" applyFont="1" applyBorder="1" applyAlignment="1" applyProtection="1">
      <alignment horizontal="center" vertical="center"/>
      <protection hidden="1"/>
    </xf>
    <xf numFmtId="0" fontId="9" fillId="8" borderId="30" xfId="0" applyFont="1" applyFill="1" applyBorder="1" applyAlignment="1" applyProtection="1">
      <alignment horizontal="center" vertical="center"/>
      <protection hidden="1"/>
    </xf>
    <xf numFmtId="1" fontId="1" fillId="8" borderId="46" xfId="0" applyNumberFormat="1" applyFont="1" applyFill="1" applyBorder="1" applyAlignment="1" applyProtection="1">
      <alignment horizontal="center" vertical="center"/>
      <protection hidden="1"/>
    </xf>
    <xf numFmtId="1" fontId="1" fillId="0" borderId="26" xfId="0" applyNumberFormat="1" applyFont="1" applyBorder="1" applyAlignment="1" applyProtection="1">
      <alignment horizontal="center" vertical="center"/>
      <protection hidden="1"/>
    </xf>
    <xf numFmtId="0" fontId="19" fillId="0" borderId="0" xfId="0" applyFont="1" applyAlignment="1">
      <alignment vertical="center"/>
    </xf>
    <xf numFmtId="0" fontId="19" fillId="2" borderId="28" xfId="0" applyFont="1" applyFill="1" applyBorder="1" applyAlignment="1">
      <alignment horizontal="center" vertical="center"/>
    </xf>
    <xf numFmtId="0" fontId="20" fillId="2" borderId="29" xfId="0" applyFont="1" applyFill="1" applyBorder="1" applyAlignment="1">
      <alignment horizontal="left" vertical="center"/>
    </xf>
    <xf numFmtId="0" fontId="19" fillId="2" borderId="29" xfId="0" applyFont="1" applyFill="1" applyBorder="1" applyAlignment="1">
      <alignment horizontal="left" vertical="center"/>
    </xf>
    <xf numFmtId="0" fontId="23" fillId="9" borderId="29" xfId="1" applyFont="1" applyBorder="1" applyAlignment="1">
      <alignment horizontal="left" vertical="center"/>
    </xf>
    <xf numFmtId="1" fontId="1" fillId="8" borderId="42" xfId="0" applyNumberFormat="1" applyFont="1" applyFill="1" applyBorder="1" applyAlignment="1" applyProtection="1">
      <alignment horizontal="center" vertical="center"/>
      <protection hidden="1"/>
    </xf>
    <xf numFmtId="1" fontId="1" fillId="8" borderId="0" xfId="0" applyNumberFormat="1" applyFont="1" applyFill="1" applyAlignment="1" applyProtection="1">
      <alignment horizontal="center" vertical="center"/>
      <protection hidden="1"/>
    </xf>
    <xf numFmtId="0" fontId="17" fillId="9" borderId="29" xfId="1" applyBorder="1" applyAlignment="1">
      <alignment vertical="center"/>
    </xf>
    <xf numFmtId="1" fontId="24" fillId="10" borderId="20" xfId="2" applyNumberFormat="1" applyFont="1" applyBorder="1" applyAlignment="1" applyProtection="1">
      <alignment horizontal="center" vertical="center" wrapText="1"/>
      <protection locked="0"/>
    </xf>
    <xf numFmtId="0" fontId="0" fillId="0" borderId="46" xfId="0" applyBorder="1" applyAlignment="1" applyProtection="1">
      <alignment vertical="center"/>
      <protection locked="0"/>
    </xf>
    <xf numFmtId="1" fontId="1" fillId="8" borderId="37" xfId="0" applyNumberFormat="1" applyFont="1" applyFill="1" applyBorder="1" applyAlignment="1" applyProtection="1">
      <alignment horizontal="center" vertical="center"/>
      <protection hidden="1"/>
    </xf>
    <xf numFmtId="0" fontId="0" fillId="0" borderId="40" xfId="0" applyBorder="1" applyAlignment="1" applyProtection="1">
      <alignment vertical="center"/>
      <protection locked="0"/>
    </xf>
    <xf numFmtId="0" fontId="19" fillId="0" borderId="40" xfId="0" applyFont="1" applyBorder="1" applyAlignment="1">
      <alignment vertical="center"/>
    </xf>
    <xf numFmtId="0" fontId="20" fillId="0" borderId="20" xfId="0" applyFont="1" applyBorder="1" applyAlignment="1" applyProtection="1">
      <alignment vertical="center"/>
      <protection locked="0"/>
    </xf>
    <xf numFmtId="0" fontId="17" fillId="9" borderId="37" xfId="1" applyBorder="1" applyAlignment="1">
      <alignment vertical="center"/>
    </xf>
    <xf numFmtId="0" fontId="23" fillId="9" borderId="37" xfId="1" applyFont="1" applyBorder="1" applyAlignment="1">
      <alignment horizontal="left" vertical="center"/>
    </xf>
    <xf numFmtId="0" fontId="7" fillId="2" borderId="40" xfId="0" applyFont="1" applyFill="1" applyBorder="1" applyAlignment="1">
      <alignment vertical="center"/>
    </xf>
    <xf numFmtId="0" fontId="0" fillId="2" borderId="4" xfId="0" applyFill="1" applyBorder="1" applyAlignment="1">
      <alignment vertical="center"/>
    </xf>
    <xf numFmtId="0" fontId="7" fillId="0" borderId="0" xfId="0" applyFont="1" applyAlignment="1">
      <alignment horizontal="left"/>
    </xf>
    <xf numFmtId="0" fontId="0" fillId="2" borderId="17" xfId="0" applyFill="1" applyBorder="1" applyAlignment="1" applyProtection="1">
      <alignment vertical="center"/>
      <protection locked="0"/>
    </xf>
    <xf numFmtId="0" fontId="0" fillId="6" borderId="16" xfId="0" applyFill="1" applyBorder="1" applyAlignment="1">
      <alignment vertical="center"/>
    </xf>
    <xf numFmtId="0" fontId="7" fillId="6" borderId="18" xfId="0" applyFont="1" applyFill="1" applyBorder="1" applyAlignment="1">
      <alignment vertical="center"/>
    </xf>
    <xf numFmtId="0" fontId="1" fillId="2" borderId="30" xfId="0" applyFont="1" applyFill="1" applyBorder="1" applyAlignment="1">
      <alignment horizontal="left" vertical="center" wrapText="1"/>
    </xf>
    <xf numFmtId="0" fontId="1" fillId="2" borderId="33" xfId="0" applyFont="1" applyFill="1" applyBorder="1" applyAlignment="1">
      <alignment horizontal="left" vertical="center" wrapText="1"/>
    </xf>
    <xf numFmtId="0" fontId="0" fillId="2" borderId="16" xfId="0" applyFill="1" applyBorder="1" applyAlignment="1">
      <alignment vertical="center"/>
    </xf>
    <xf numFmtId="1" fontId="1" fillId="0" borderId="4" xfId="0" applyNumberFormat="1" applyFont="1" applyBorder="1" applyAlignment="1" applyProtection="1">
      <alignment horizontal="center" vertical="center"/>
      <protection hidden="1"/>
    </xf>
    <xf numFmtId="0" fontId="0" fillId="11" borderId="0" xfId="0" applyFill="1"/>
    <xf numFmtId="165" fontId="1" fillId="2" borderId="0" xfId="0" applyNumberFormat="1" applyFont="1" applyFill="1" applyAlignment="1" applyProtection="1">
      <alignment horizontal="center" vertical="center"/>
      <protection locked="0"/>
    </xf>
    <xf numFmtId="166" fontId="18" fillId="10" borderId="0" xfId="2" applyNumberFormat="1" applyBorder="1" applyAlignment="1" applyProtection="1">
      <alignment horizontal="center" vertical="center"/>
      <protection locked="0"/>
    </xf>
    <xf numFmtId="0" fontId="26" fillId="2" borderId="28" xfId="0" applyFont="1" applyFill="1" applyBorder="1" applyAlignment="1">
      <alignment horizontal="center" vertical="center"/>
    </xf>
    <xf numFmtId="0" fontId="27" fillId="2" borderId="29" xfId="0" applyFont="1" applyFill="1" applyBorder="1" applyAlignment="1">
      <alignment vertical="center"/>
    </xf>
    <xf numFmtId="0" fontId="26" fillId="12" borderId="28" xfId="0" applyFont="1" applyFill="1" applyBorder="1" applyAlignment="1">
      <alignment horizontal="center" vertical="center"/>
    </xf>
    <xf numFmtId="0" fontId="27" fillId="12" borderId="29" xfId="0" applyFont="1" applyFill="1" applyBorder="1" applyAlignment="1">
      <alignment vertical="center"/>
    </xf>
    <xf numFmtId="1" fontId="1" fillId="12" borderId="20" xfId="0" applyNumberFormat="1" applyFont="1" applyFill="1" applyBorder="1" applyAlignment="1" applyProtection="1">
      <alignment horizontal="center" vertical="center"/>
      <protection hidden="1"/>
    </xf>
    <xf numFmtId="0" fontId="21" fillId="10" borderId="20" xfId="2" applyFont="1" applyBorder="1" applyAlignment="1" applyProtection="1">
      <alignment horizontal="center" vertical="center"/>
      <protection locked="0"/>
    </xf>
    <xf numFmtId="0" fontId="7" fillId="2" borderId="18" xfId="0" applyFont="1" applyFill="1" applyBorder="1" applyAlignment="1">
      <alignment horizontal="center" vertical="center"/>
    </xf>
    <xf numFmtId="0" fontId="7" fillId="2" borderId="40" xfId="0" applyFont="1" applyFill="1" applyBorder="1" applyAlignment="1">
      <alignment horizontal="center" vertical="center"/>
    </xf>
    <xf numFmtId="0" fontId="1" fillId="2" borderId="42" xfId="0" applyFont="1" applyFill="1" applyBorder="1" applyAlignment="1" applyProtection="1">
      <alignment horizontal="center" vertical="center"/>
      <protection locked="0"/>
    </xf>
    <xf numFmtId="0" fontId="0" fillId="2" borderId="4" xfId="0" applyFill="1" applyBorder="1" applyAlignment="1" applyProtection="1">
      <alignment vertical="center"/>
      <protection locked="0"/>
    </xf>
    <xf numFmtId="0" fontId="24" fillId="10" borderId="20" xfId="2" applyFont="1" applyBorder="1" applyAlignment="1" applyProtection="1">
      <alignment horizontal="center" vertical="center" wrapText="1"/>
      <protection locked="0"/>
    </xf>
    <xf numFmtId="0" fontId="17" fillId="9" borderId="20" xfId="1" applyBorder="1" applyAlignment="1" applyProtection="1">
      <alignment horizontal="center" vertical="center"/>
      <protection locked="0"/>
    </xf>
    <xf numFmtId="0" fontId="28" fillId="2" borderId="29" xfId="0" applyFont="1" applyFill="1" applyBorder="1" applyAlignment="1">
      <alignment vertical="center"/>
    </xf>
    <xf numFmtId="0" fontId="28" fillId="2" borderId="29" xfId="0" applyFont="1" applyFill="1" applyBorder="1" applyAlignment="1">
      <alignment vertical="top" wrapText="1"/>
    </xf>
    <xf numFmtId="0" fontId="0" fillId="2" borderId="29" xfId="0" applyFill="1" applyBorder="1" applyAlignment="1">
      <alignment horizontal="left" vertical="top"/>
    </xf>
    <xf numFmtId="0" fontId="24" fillId="10" borderId="30" xfId="2" applyFont="1" applyBorder="1" applyAlignment="1" applyProtection="1">
      <alignment horizontal="center" vertical="center" wrapText="1"/>
      <protection locked="0"/>
    </xf>
    <xf numFmtId="0" fontId="7" fillId="0" borderId="0" xfId="0" applyFont="1" applyAlignment="1">
      <alignment horizontal="center"/>
    </xf>
    <xf numFmtId="15" fontId="1" fillId="2" borderId="0" xfId="0" applyNumberFormat="1" applyFont="1" applyFill="1" applyAlignment="1" applyProtection="1">
      <alignment horizontal="center" vertical="center"/>
      <protection locked="0"/>
    </xf>
    <xf numFmtId="1" fontId="1" fillId="0" borderId="42" xfId="0" applyNumberFormat="1" applyFont="1" applyBorder="1" applyAlignment="1" applyProtection="1">
      <alignment horizontal="center" vertical="center"/>
      <protection hidden="1"/>
    </xf>
    <xf numFmtId="1" fontId="1" fillId="0" borderId="43" xfId="0" applyNumberFormat="1" applyFont="1" applyBorder="1" applyAlignment="1" applyProtection="1">
      <alignment horizontal="center" vertical="center"/>
      <protection hidden="1"/>
    </xf>
    <xf numFmtId="1" fontId="24" fillId="10" borderId="42" xfId="2" applyNumberFormat="1" applyFont="1" applyBorder="1" applyAlignment="1" applyProtection="1">
      <alignment horizontal="center" vertical="center" wrapText="1"/>
      <protection locked="0"/>
    </xf>
    <xf numFmtId="1" fontId="24" fillId="10" borderId="38" xfId="2" applyNumberFormat="1" applyFont="1" applyBorder="1" applyAlignment="1" applyProtection="1">
      <alignment horizontal="center" vertical="center" wrapText="1"/>
      <protection locked="0"/>
    </xf>
    <xf numFmtId="0" fontId="0" fillId="0" borderId="19" xfId="0" applyBorder="1" applyAlignment="1">
      <alignment vertical="center"/>
    </xf>
    <xf numFmtId="1" fontId="24" fillId="10" borderId="27" xfId="2" applyNumberFormat="1" applyFont="1" applyBorder="1" applyAlignment="1" applyProtection="1">
      <alignment horizontal="center" vertical="center" wrapText="1"/>
      <protection locked="0"/>
    </xf>
    <xf numFmtId="0" fontId="17" fillId="9" borderId="32" xfId="1" applyBorder="1" applyAlignment="1">
      <alignment horizontal="left" vertical="center"/>
    </xf>
    <xf numFmtId="0" fontId="17" fillId="9" borderId="16" xfId="1" applyBorder="1" applyAlignment="1">
      <alignment vertical="center"/>
    </xf>
    <xf numFmtId="1" fontId="24" fillId="10" borderId="21" xfId="2" applyNumberFormat="1" applyFont="1" applyBorder="1" applyAlignment="1" applyProtection="1">
      <alignment horizontal="center" vertical="center" wrapText="1"/>
      <protection locked="0"/>
    </xf>
    <xf numFmtId="0" fontId="0" fillId="2" borderId="29" xfId="0" applyFill="1" applyBorder="1" applyAlignment="1">
      <alignment horizontal="left" vertical="center"/>
    </xf>
    <xf numFmtId="0" fontId="0" fillId="2" borderId="29" xfId="0" applyFill="1" applyBorder="1" applyAlignment="1">
      <alignment horizontal="left" vertical="center" wrapText="1"/>
    </xf>
    <xf numFmtId="1" fontId="1" fillId="0" borderId="47" xfId="0" applyNumberFormat="1" applyFont="1" applyBorder="1" applyAlignment="1" applyProtection="1">
      <alignment horizontal="center" vertical="center"/>
      <protection hidden="1"/>
    </xf>
    <xf numFmtId="1" fontId="1" fillId="0" borderId="44" xfId="0" applyNumberFormat="1" applyFont="1" applyBorder="1" applyAlignment="1" applyProtection="1">
      <alignment horizontal="center" vertical="center"/>
      <protection hidden="1"/>
    </xf>
    <xf numFmtId="1" fontId="22" fillId="0" borderId="42" xfId="0" applyNumberFormat="1" applyFont="1" applyBorder="1" applyAlignment="1" applyProtection="1">
      <alignment horizontal="center" vertical="center"/>
      <protection hidden="1"/>
    </xf>
    <xf numFmtId="1" fontId="22" fillId="0" borderId="38" xfId="0" applyNumberFormat="1" applyFont="1" applyBorder="1" applyAlignment="1" applyProtection="1">
      <alignment horizontal="center" vertical="center"/>
      <protection hidden="1"/>
    </xf>
    <xf numFmtId="0" fontId="20" fillId="0" borderId="41" xfId="0" applyFont="1" applyBorder="1" applyAlignment="1">
      <alignment horizontal="center" vertical="center"/>
    </xf>
    <xf numFmtId="0" fontId="20" fillId="0" borderId="37" xfId="0" applyFont="1" applyBorder="1" applyAlignment="1">
      <alignment horizontal="center" vertical="center"/>
    </xf>
    <xf numFmtId="0" fontId="9" fillId="2" borderId="29" xfId="0" applyFont="1" applyFill="1" applyBorder="1" applyAlignment="1">
      <alignment horizontal="left" vertical="center" wrapText="1"/>
    </xf>
    <xf numFmtId="0" fontId="7" fillId="4" borderId="1" xfId="0" applyFont="1" applyFill="1" applyBorder="1" applyAlignment="1">
      <alignment horizontal="left" vertical="center"/>
    </xf>
    <xf numFmtId="0" fontId="7" fillId="4" borderId="2" xfId="0" applyFont="1" applyFill="1" applyBorder="1" applyAlignment="1">
      <alignment horizontal="left" vertical="center"/>
    </xf>
    <xf numFmtId="0" fontId="18" fillId="10" borderId="23" xfId="2" applyBorder="1" applyAlignment="1" applyProtection="1">
      <alignment horizontal="center"/>
      <protection locked="0"/>
    </xf>
    <xf numFmtId="0" fontId="18" fillId="10" borderId="22" xfId="2" applyBorder="1" applyAlignment="1" applyProtection="1">
      <alignment horizontal="center"/>
      <protection locked="0"/>
    </xf>
    <xf numFmtId="0" fontId="7" fillId="5" borderId="9" xfId="0" applyFont="1" applyFill="1" applyBorder="1" applyAlignment="1">
      <alignment horizontal="left"/>
    </xf>
    <xf numFmtId="0" fontId="7" fillId="5" borderId="6" xfId="0" applyFont="1" applyFill="1" applyBorder="1" applyAlignment="1">
      <alignment horizontal="left"/>
    </xf>
    <xf numFmtId="0" fontId="7" fillId="5" borderId="10" xfId="0" applyFont="1" applyFill="1" applyBorder="1" applyAlignment="1">
      <alignment horizontal="left"/>
    </xf>
    <xf numFmtId="0" fontId="18" fillId="10" borderId="28" xfId="2" applyBorder="1" applyAlignment="1" applyProtection="1">
      <alignment horizontal="center"/>
      <protection locked="0"/>
    </xf>
    <xf numFmtId="0" fontId="18" fillId="10" borderId="30" xfId="2" applyBorder="1" applyAlignment="1" applyProtection="1">
      <alignment horizontal="center"/>
      <protection locked="0"/>
    </xf>
    <xf numFmtId="0" fontId="17" fillId="9" borderId="28" xfId="1" applyBorder="1" applyAlignment="1">
      <alignment horizontal="center" vertical="center"/>
    </xf>
    <xf numFmtId="0" fontId="17" fillId="9" borderId="29" xfId="1" applyBorder="1" applyAlignment="1">
      <alignment horizontal="center" vertical="center"/>
    </xf>
    <xf numFmtId="0" fontId="17" fillId="9" borderId="30" xfId="1" applyBorder="1" applyAlignment="1">
      <alignment horizontal="center" vertical="center"/>
    </xf>
    <xf numFmtId="0" fontId="19" fillId="5" borderId="0" xfId="0" applyFont="1" applyFill="1" applyAlignment="1">
      <alignment horizontal="center" wrapText="1"/>
    </xf>
    <xf numFmtId="0" fontId="11" fillId="11" borderId="1" xfId="0" applyFont="1" applyFill="1" applyBorder="1" applyAlignment="1">
      <alignment horizontal="left" vertical="center" wrapText="1"/>
    </xf>
    <xf numFmtId="0" fontId="11" fillId="11" borderId="2" xfId="0" applyFont="1" applyFill="1" applyBorder="1" applyAlignment="1">
      <alignment horizontal="left" vertical="center" wrapText="1"/>
    </xf>
    <xf numFmtId="0" fontId="11" fillId="11" borderId="3" xfId="0" applyFont="1" applyFill="1" applyBorder="1" applyAlignment="1">
      <alignment horizontal="left" vertical="center" wrapText="1"/>
    </xf>
    <xf numFmtId="0" fontId="0" fillId="2" borderId="32" xfId="0" applyFill="1" applyBorder="1" applyAlignment="1">
      <alignment horizontal="left" vertical="center"/>
    </xf>
    <xf numFmtId="0" fontId="0" fillId="2" borderId="25" xfId="0" applyFill="1" applyBorder="1" applyAlignment="1">
      <alignment horizontal="left" vertical="center" wrapText="1"/>
    </xf>
    <xf numFmtId="0" fontId="0" fillId="2" borderId="25" xfId="0" applyFill="1" applyBorder="1" applyAlignment="1">
      <alignment horizontal="left" vertical="center"/>
    </xf>
    <xf numFmtId="0" fontId="6" fillId="3" borderId="23"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19"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1" fontId="1" fillId="2" borderId="42" xfId="0" applyNumberFormat="1" applyFont="1" applyFill="1" applyBorder="1" applyAlignment="1" applyProtection="1">
      <alignment horizontal="center" vertical="center"/>
      <protection hidden="1"/>
    </xf>
    <xf numFmtId="1" fontId="1" fillId="2" borderId="43" xfId="0" applyNumberFormat="1" applyFont="1" applyFill="1" applyBorder="1" applyAlignment="1" applyProtection="1">
      <alignment horizontal="center" vertical="center"/>
      <protection hidden="1"/>
    </xf>
    <xf numFmtId="1" fontId="1" fillId="2" borderId="38" xfId="0" applyNumberFormat="1" applyFont="1" applyFill="1" applyBorder="1" applyAlignment="1" applyProtection="1">
      <alignment horizontal="center" vertical="center"/>
      <protection hidden="1"/>
    </xf>
    <xf numFmtId="0" fontId="1" fillId="2" borderId="42" xfId="0" applyFont="1" applyFill="1" applyBorder="1" applyAlignment="1" applyProtection="1">
      <alignment horizontal="center" vertical="center"/>
      <protection hidden="1"/>
    </xf>
    <xf numFmtId="0" fontId="1" fillId="2" borderId="43" xfId="0" applyFont="1" applyFill="1" applyBorder="1" applyAlignment="1" applyProtection="1">
      <alignment horizontal="center" vertical="center"/>
      <protection hidden="1"/>
    </xf>
    <xf numFmtId="0" fontId="1" fillId="2" borderId="38" xfId="0" applyFont="1" applyFill="1" applyBorder="1" applyAlignment="1" applyProtection="1">
      <alignment horizontal="center" vertical="center"/>
      <protection hidden="1"/>
    </xf>
    <xf numFmtId="1" fontId="1" fillId="2" borderId="44" xfId="0" applyNumberFormat="1" applyFont="1" applyFill="1" applyBorder="1" applyAlignment="1" applyProtection="1">
      <alignment horizontal="center" vertical="center"/>
      <protection hidden="1"/>
    </xf>
    <xf numFmtId="0" fontId="7" fillId="5" borderId="11" xfId="0" applyFont="1" applyFill="1" applyBorder="1" applyAlignment="1">
      <alignment horizontal="left"/>
    </xf>
    <xf numFmtId="0" fontId="7" fillId="5" borderId="12" xfId="0" applyFont="1" applyFill="1" applyBorder="1" applyAlignment="1">
      <alignment horizontal="left"/>
    </xf>
    <xf numFmtId="0" fontId="7" fillId="5" borderId="13" xfId="0" applyFont="1" applyFill="1" applyBorder="1" applyAlignment="1">
      <alignment horizontal="left"/>
    </xf>
    <xf numFmtId="165" fontId="18" fillId="10" borderId="31" xfId="2" applyNumberFormat="1" applyBorder="1" applyAlignment="1" applyProtection="1">
      <alignment horizontal="center" vertical="center"/>
      <protection locked="0"/>
    </xf>
    <xf numFmtId="165" fontId="18" fillId="10" borderId="33" xfId="2" applyNumberFormat="1" applyBorder="1" applyAlignment="1" applyProtection="1">
      <alignment horizontal="center" vertical="center"/>
      <protection locked="0"/>
    </xf>
    <xf numFmtId="0" fontId="7" fillId="5" borderId="8" xfId="0" applyFont="1" applyFill="1" applyBorder="1" applyAlignment="1">
      <alignment horizontal="left"/>
    </xf>
    <xf numFmtId="0" fontId="7" fillId="5" borderId="7" xfId="0" applyFont="1" applyFill="1" applyBorder="1" applyAlignment="1">
      <alignment horizontal="left"/>
    </xf>
    <xf numFmtId="0" fontId="7" fillId="5" borderId="5" xfId="0" applyFont="1" applyFill="1" applyBorder="1" applyAlignment="1">
      <alignment horizontal="left"/>
    </xf>
    <xf numFmtId="0" fontId="0" fillId="2" borderId="37" xfId="0" applyFill="1" applyBorder="1" applyAlignment="1">
      <alignment horizontal="left" vertical="center"/>
    </xf>
    <xf numFmtId="0" fontId="7" fillId="2" borderId="29" xfId="0" applyFont="1" applyFill="1" applyBorder="1" applyAlignment="1">
      <alignment horizontal="left" vertical="center" wrapText="1"/>
    </xf>
    <xf numFmtId="0" fontId="0" fillId="2" borderId="32" xfId="0" applyFill="1" applyBorder="1" applyAlignment="1">
      <alignment horizontal="left" vertical="center" wrapText="1"/>
    </xf>
    <xf numFmtId="0" fontId="0" fillId="2" borderId="37" xfId="0" applyFill="1" applyBorder="1" applyAlignment="1">
      <alignment horizontal="left" vertical="center" wrapText="1"/>
    </xf>
    <xf numFmtId="0" fontId="11" fillId="0" borderId="0" xfId="0" applyFont="1" applyAlignment="1">
      <alignment horizontal="center"/>
    </xf>
    <xf numFmtId="0" fontId="25" fillId="0" borderId="0" xfId="0" applyFont="1" applyAlignment="1">
      <alignment horizontal="center"/>
    </xf>
    <xf numFmtId="0" fontId="9" fillId="2" borderId="29" xfId="0" applyFont="1" applyFill="1" applyBorder="1" applyAlignment="1">
      <alignment horizontal="center" vertical="center" wrapText="1"/>
    </xf>
    <xf numFmtId="0" fontId="7" fillId="0" borderId="0" xfId="0" applyFont="1" applyAlignment="1">
      <alignment horizontal="center"/>
    </xf>
    <xf numFmtId="0" fontId="7" fillId="5" borderId="48" xfId="0" applyFont="1" applyFill="1" applyBorder="1" applyAlignment="1">
      <alignment horizontal="left"/>
    </xf>
    <xf numFmtId="0" fontId="7" fillId="5" borderId="49" xfId="0" applyFont="1" applyFill="1" applyBorder="1" applyAlignment="1">
      <alignment horizontal="left"/>
    </xf>
    <xf numFmtId="0" fontId="7" fillId="5" borderId="50" xfId="0" applyFont="1" applyFill="1" applyBorder="1" applyAlignment="1">
      <alignment horizontal="left"/>
    </xf>
    <xf numFmtId="0" fontId="18" fillId="10" borderId="45" xfId="2" applyBorder="1" applyAlignment="1" applyProtection="1">
      <alignment horizontal="center"/>
      <protection locked="0"/>
    </xf>
    <xf numFmtId="0" fontId="18" fillId="10" borderId="46" xfId="2" applyBorder="1" applyAlignment="1" applyProtection="1">
      <alignment horizontal="center"/>
      <protection locked="0"/>
    </xf>
  </cellXfs>
  <cellStyles count="3">
    <cellStyle name="Bad" xfId="1" builtinId="27"/>
    <cellStyle name="Neutral" xfId="2" builtinId="28"/>
    <cellStyle name="Normal" xfId="0" builtinId="0"/>
  </cellStyles>
  <dxfs count="0"/>
  <tableStyles count="0" defaultTableStyle="TableStyleMedium2" defaultPivotStyle="PivotStyleLight16"/>
  <colors>
    <mruColors>
      <color rgb="FFC3BEBD"/>
      <color rgb="FFCDC6B3"/>
      <color rgb="FFA0789B"/>
      <color rgb="FF3333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owerPivotData" Target="model/item.data"/><Relationship Id="rId13" Type="http://schemas.openxmlformats.org/officeDocument/2006/relationships/customXml" Target="../customXml/item4.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connections" Target="connection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 Id="rId14" Type="http://schemas.openxmlformats.org/officeDocument/2006/relationships/customXml" Target="../customXml/item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chemeClr val="bg1"/>
                </a:solidFill>
              </a:rPr>
              <a:t>COMPLIANCE CART</a:t>
            </a:r>
          </a:p>
        </c:rich>
      </c:tx>
      <c:layout>
        <c:manualLayout>
          <c:xMode val="edge"/>
          <c:yMode val="edge"/>
          <c:x val="0.42739772328213554"/>
          <c:y val="1.658732541132540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2">
                <a:lumMod val="60000"/>
                <a:lumOff val="40000"/>
              </a:schemeClr>
            </a:solidFill>
            <a:ln>
              <a:solidFill>
                <a:schemeClr val="accent2">
                  <a:lumMod val="60000"/>
                  <a:lumOff val="40000"/>
                </a:schemeClr>
              </a:solidFill>
            </a:ln>
            <a:effectLst/>
          </c:spPr>
          <c:invertIfNegative val="0"/>
          <c:dLbls>
            <c:spPr>
              <a:solidFill>
                <a:schemeClr val="accent2">
                  <a:lumMod val="20000"/>
                  <a:lumOff val="80000"/>
                </a:scheme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 '!$E$306:$E$322</c:f>
              <c:strCache>
                <c:ptCount val="17"/>
                <c:pt idx="0">
                  <c:v>Others Matters </c:v>
                </c:pt>
                <c:pt idx="1">
                  <c:v>Board Composition </c:v>
                </c:pt>
                <c:pt idx="2">
                  <c:v>Directors Registry </c:v>
                </c:pt>
                <c:pt idx="3">
                  <c:v>BOD and CS Key Responsibilities</c:v>
                </c:pt>
                <c:pt idx="4">
                  <c:v>Board Meeting</c:v>
                </c:pt>
                <c:pt idx="5">
                  <c:v>Training and Development </c:v>
                </c:pt>
                <c:pt idx="6">
                  <c:v>Register of Interests </c:v>
                </c:pt>
                <c:pt idx="7">
                  <c:v>Board Performance Evaluation </c:v>
                </c:pt>
                <c:pt idx="8">
                  <c:v>Committee Formations and Functions</c:v>
                </c:pt>
                <c:pt idx="9">
                  <c:v>Annual General Meeting (AGM)</c:v>
                </c:pt>
                <c:pt idx="10">
                  <c:v>Board Audit Committee</c:v>
                </c:pt>
                <c:pt idx="11">
                  <c:v>Internal Audit </c:v>
                </c:pt>
                <c:pt idx="12">
                  <c:v>Fit and Proper of Chief Financial Officer (CFO) </c:v>
                </c:pt>
                <c:pt idx="13">
                  <c:v>Risk Management </c:v>
                </c:pt>
                <c:pt idx="14">
                  <c:v>Code of Ethics and Code of conducts</c:v>
                </c:pt>
                <c:pt idx="15">
                  <c:v>Disclosure</c:v>
                </c:pt>
                <c:pt idx="16">
                  <c:v>Transparency</c:v>
                </c:pt>
              </c:strCache>
            </c:strRef>
          </c:cat>
          <c:val>
            <c:numRef>
              <c:f>'FORM '!$F$306:$F$322</c:f>
              <c:numCache>
                <c:formatCode>0</c:formatCode>
                <c:ptCount val="1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numCache>
            </c:numRef>
          </c:val>
          <c:extLst>
            <c:ext xmlns:c16="http://schemas.microsoft.com/office/drawing/2014/chart" uri="{C3380CC4-5D6E-409C-BE32-E72D297353CC}">
              <c16:uniqueId val="{00000000-9968-DF4E-BA91-BFD4D8C9C573}"/>
            </c:ext>
          </c:extLst>
        </c:ser>
        <c:ser>
          <c:idx val="1"/>
          <c:order val="1"/>
          <c:spPr>
            <a:solidFill>
              <a:schemeClr val="accent2">
                <a:lumMod val="60000"/>
                <a:lumOff val="40000"/>
                <a:alpha val="0"/>
              </a:schemeClr>
            </a:solidFill>
            <a:ln>
              <a:solidFill>
                <a:schemeClr val="accent2">
                  <a:lumMod val="60000"/>
                  <a:lumOff val="40000"/>
                </a:schemeClr>
              </a:solidFill>
            </a:ln>
            <a:effectLst/>
          </c:spPr>
          <c:invertIfNegative val="0"/>
          <c:cat>
            <c:strRef>
              <c:f>'FORM '!$E$306:$E$322</c:f>
              <c:strCache>
                <c:ptCount val="17"/>
                <c:pt idx="0">
                  <c:v>Others Matters </c:v>
                </c:pt>
                <c:pt idx="1">
                  <c:v>Board Composition </c:v>
                </c:pt>
                <c:pt idx="2">
                  <c:v>Directors Registry </c:v>
                </c:pt>
                <c:pt idx="3">
                  <c:v>BOD and CS Key Responsibilities</c:v>
                </c:pt>
                <c:pt idx="4">
                  <c:v>Board Meeting</c:v>
                </c:pt>
                <c:pt idx="5">
                  <c:v>Training and Development </c:v>
                </c:pt>
                <c:pt idx="6">
                  <c:v>Register of Interests </c:v>
                </c:pt>
                <c:pt idx="7">
                  <c:v>Board Performance Evaluation </c:v>
                </c:pt>
                <c:pt idx="8">
                  <c:v>Committee Formations and Functions</c:v>
                </c:pt>
                <c:pt idx="9">
                  <c:v>Annual General Meeting (AGM)</c:v>
                </c:pt>
                <c:pt idx="10">
                  <c:v>Board Audit Committee</c:v>
                </c:pt>
                <c:pt idx="11">
                  <c:v>Internal Audit </c:v>
                </c:pt>
                <c:pt idx="12">
                  <c:v>Fit and Proper of Chief Financial Officer (CFO) </c:v>
                </c:pt>
                <c:pt idx="13">
                  <c:v>Risk Management </c:v>
                </c:pt>
                <c:pt idx="14">
                  <c:v>Code of Ethics and Code of conducts</c:v>
                </c:pt>
                <c:pt idx="15">
                  <c:v>Disclosure</c:v>
                </c:pt>
                <c:pt idx="16">
                  <c:v>Transparency</c:v>
                </c:pt>
              </c:strCache>
            </c:strRef>
          </c:cat>
          <c:val>
            <c:numRef>
              <c:f>'FORM '!$H$306:$H$322</c:f>
              <c:numCache>
                <c:formatCode>General</c:formatCode>
                <c:ptCount val="1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numCache>
            </c:numRef>
          </c:val>
          <c:extLst>
            <c:ext xmlns:c16="http://schemas.microsoft.com/office/drawing/2014/chart" uri="{C3380CC4-5D6E-409C-BE32-E72D297353CC}">
              <c16:uniqueId val="{00000001-9968-DF4E-BA91-BFD4D8C9C573}"/>
            </c:ext>
          </c:extLst>
        </c:ser>
        <c:dLbls>
          <c:showLegendKey val="0"/>
          <c:showVal val="0"/>
          <c:showCatName val="0"/>
          <c:showSerName val="0"/>
          <c:showPercent val="0"/>
          <c:showBubbleSize val="0"/>
        </c:dLbls>
        <c:gapWidth val="182"/>
        <c:overlap val="100"/>
        <c:axId val="340877512"/>
        <c:axId val="340878688"/>
      </c:barChart>
      <c:catAx>
        <c:axId val="340877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340878688"/>
        <c:crosses val="autoZero"/>
        <c:auto val="0"/>
        <c:lblAlgn val="ctr"/>
        <c:lblOffset val="100"/>
        <c:noMultiLvlLbl val="0"/>
      </c:catAx>
      <c:valAx>
        <c:axId val="340878688"/>
        <c:scaling>
          <c:orientation val="minMax"/>
        </c:scaling>
        <c:delete val="1"/>
        <c:axPos val="b"/>
        <c:numFmt formatCode="0" sourceLinked="1"/>
        <c:majorTickMark val="none"/>
        <c:minorTickMark val="none"/>
        <c:tickLblPos val="nextTo"/>
        <c:crossAx val="340877512"/>
        <c:crosses val="autoZero"/>
        <c:crossBetween val="between"/>
      </c:valAx>
      <c:spPr>
        <a:noFill/>
        <a:ln>
          <a:noFill/>
        </a:ln>
        <a:effectLst/>
      </c:spPr>
    </c:plotArea>
    <c:plotVisOnly val="1"/>
    <c:dispBlanksAs val="gap"/>
    <c:showDLblsOverMax val="0"/>
  </c:chart>
  <c:spPr>
    <a:solidFill>
      <a:schemeClr val="tx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285749</xdr:colOff>
      <xdr:row>292</xdr:row>
      <xdr:rowOff>44463</xdr:rowOff>
    </xdr:from>
    <xdr:to>
      <xdr:col>7</xdr:col>
      <xdr:colOff>5538108</xdr:colOff>
      <xdr:row>327</xdr:row>
      <xdr:rowOff>27214</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Terms%20and%20Defini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ms and Definitions"/>
    </sheetNames>
    <sheetDataSet>
      <sheetData sheetId="0" refreshError="1"/>
    </sheetDataSet>
  </externalBook>
</externalLink>
</file>

<file path=xl/theme/theme1.xml><?xml version="1.0" encoding="utf-8"?>
<a:theme xmlns:a="http://schemas.openxmlformats.org/drawingml/2006/main" name="Office Theme">
  <a:themeElements>
    <a:clrScheme name="Red Orange">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33"/>
  <sheetViews>
    <sheetView tabSelected="1" zoomScale="70" zoomScaleNormal="70" zoomScaleSheetLayoutView="85" workbookViewId="0">
      <selection activeCell="D12" sqref="D12"/>
    </sheetView>
  </sheetViews>
  <sheetFormatPr defaultColWidth="9.140625" defaultRowHeight="15"/>
  <cols>
    <col min="1" max="1" width="4.42578125" customWidth="1"/>
    <col min="2" max="2" width="3.42578125" style="4" customWidth="1"/>
    <col min="3" max="3" width="8" customWidth="1"/>
    <col min="4" max="4" width="100.140625" style="1" customWidth="1"/>
    <col min="5" max="5" width="36.7109375" style="24" customWidth="1"/>
    <col min="6" max="6" width="19.5703125" style="62" customWidth="1"/>
    <col min="7" max="7" width="27.7109375" style="62" customWidth="1"/>
    <col min="8" max="8" width="84" bestFit="1" customWidth="1"/>
    <col min="9" max="9" width="9.140625" customWidth="1"/>
    <col min="10" max="10" width="15.85546875" customWidth="1"/>
    <col min="11" max="11" width="22.85546875" customWidth="1"/>
  </cols>
  <sheetData>
    <row r="1" spans="1:8" ht="15" customHeight="1">
      <c r="A1" s="242" t="s">
        <v>303</v>
      </c>
      <c r="B1" s="243"/>
      <c r="C1" s="243"/>
      <c r="D1" s="244"/>
      <c r="E1" s="244"/>
      <c r="F1" s="244"/>
      <c r="G1" s="244"/>
      <c r="H1" s="245"/>
    </row>
    <row r="2" spans="1:8" ht="44.25" customHeight="1">
      <c r="A2" s="246"/>
      <c r="B2" s="247"/>
      <c r="C2" s="247"/>
      <c r="D2" s="247"/>
      <c r="E2" s="247"/>
      <c r="F2" s="247"/>
      <c r="G2" s="247"/>
      <c r="H2" s="248"/>
    </row>
    <row r="3" spans="1:8" ht="10.5" customHeight="1">
      <c r="A3" s="3"/>
      <c r="B3" s="7"/>
      <c r="C3" s="3"/>
      <c r="D3" s="2"/>
      <c r="E3" s="18"/>
      <c r="F3" s="34"/>
      <c r="G3" s="34"/>
      <c r="H3" s="3"/>
    </row>
    <row r="4" spans="1:8" ht="15.75" customHeight="1">
      <c r="A4" s="264" t="s">
        <v>0</v>
      </c>
      <c r="B4" s="265"/>
      <c r="C4" s="266"/>
      <c r="D4" s="225"/>
      <c r="E4" s="226"/>
      <c r="F4" s="34"/>
      <c r="G4" s="34"/>
      <c r="H4" s="106"/>
    </row>
    <row r="5" spans="1:8" ht="16.5" customHeight="1">
      <c r="A5" s="227" t="s">
        <v>1</v>
      </c>
      <c r="B5" s="228"/>
      <c r="C5" s="229"/>
      <c r="D5" s="230"/>
      <c r="E5" s="231"/>
      <c r="F5" s="34"/>
      <c r="G5" s="34"/>
      <c r="H5" s="107"/>
    </row>
    <row r="6" spans="1:8" ht="15" customHeight="1">
      <c r="A6" s="227" t="s">
        <v>50</v>
      </c>
      <c r="B6" s="228"/>
      <c r="C6" s="229"/>
      <c r="D6" s="230"/>
      <c r="E6" s="231"/>
      <c r="F6" s="34"/>
      <c r="G6" s="34"/>
      <c r="H6" s="107"/>
    </row>
    <row r="7" spans="1:8" ht="15" customHeight="1">
      <c r="A7" s="275" t="s">
        <v>454</v>
      </c>
      <c r="B7" s="276"/>
      <c r="C7" s="277"/>
      <c r="D7" s="278"/>
      <c r="E7" s="279"/>
      <c r="F7" s="34"/>
      <c r="G7" s="34"/>
      <c r="H7" s="107"/>
    </row>
    <row r="8" spans="1:8" ht="13.5" customHeight="1">
      <c r="A8" s="259" t="s">
        <v>2</v>
      </c>
      <c r="B8" s="260"/>
      <c r="C8" s="261"/>
      <c r="D8" s="262"/>
      <c r="E8" s="263"/>
      <c r="F8" s="34"/>
      <c r="G8" s="34"/>
      <c r="H8" s="107"/>
    </row>
    <row r="9" spans="1:8" ht="13.5" customHeight="1">
      <c r="A9" s="185"/>
      <c r="B9" s="185"/>
      <c r="C9" s="185"/>
      <c r="D9" s="185"/>
      <c r="E9" s="185"/>
      <c r="F9" s="34"/>
      <c r="G9" s="34"/>
      <c r="H9" s="107"/>
    </row>
    <row r="10" spans="1:8" ht="27" customHeight="1">
      <c r="A10" s="235" t="s">
        <v>304</v>
      </c>
      <c r="B10" s="235"/>
      <c r="C10" s="235"/>
      <c r="D10" s="186">
        <v>2025</v>
      </c>
      <c r="E10" s="185"/>
      <c r="F10" s="34"/>
      <c r="G10" s="34"/>
      <c r="H10" s="107"/>
    </row>
    <row r="11" spans="1:8" ht="13.5" customHeight="1">
      <c r="A11" s="185"/>
      <c r="B11" s="185"/>
      <c r="C11" s="185"/>
      <c r="D11" s="185"/>
      <c r="E11" s="185"/>
      <c r="F11" s="34"/>
      <c r="G11" s="34"/>
      <c r="H11" s="107"/>
    </row>
    <row r="12" spans="1:8" ht="13.5" customHeight="1">
      <c r="A12" s="185"/>
      <c r="B12" s="185"/>
      <c r="C12" s="185"/>
      <c r="D12" s="185"/>
      <c r="E12" s="185"/>
      <c r="F12" s="34"/>
      <c r="G12" s="34"/>
      <c r="H12" s="107"/>
    </row>
    <row r="13" spans="1:8" ht="11.25" customHeight="1">
      <c r="A13" s="3"/>
      <c r="B13" s="3"/>
      <c r="C13" s="3"/>
      <c r="D13" s="2"/>
      <c r="E13" s="18"/>
      <c r="F13" s="34"/>
      <c r="G13" s="34"/>
      <c r="H13" s="3"/>
    </row>
    <row r="14" spans="1:8" ht="101.1" customHeight="1">
      <c r="A14" s="236" t="s">
        <v>445</v>
      </c>
      <c r="B14" s="237"/>
      <c r="C14" s="237"/>
      <c r="D14" s="237"/>
      <c r="E14" s="237"/>
      <c r="F14" s="237"/>
      <c r="G14" s="237"/>
      <c r="H14" s="238"/>
    </row>
    <row r="15" spans="1:8" ht="9" customHeight="1">
      <c r="A15" s="3"/>
      <c r="B15" s="7"/>
      <c r="C15" s="3"/>
      <c r="D15" s="2"/>
      <c r="E15" s="18"/>
      <c r="F15" s="34"/>
      <c r="G15" s="34"/>
      <c r="H15" s="3"/>
    </row>
    <row r="16" spans="1:8" s="74" customFormat="1" ht="14.25" customHeight="1">
      <c r="A16" s="70"/>
      <c r="B16" s="84" t="s">
        <v>122</v>
      </c>
      <c r="C16" s="85"/>
      <c r="D16" s="85"/>
      <c r="E16" s="21"/>
      <c r="F16" s="151"/>
      <c r="G16" s="151"/>
      <c r="H16" s="112"/>
    </row>
    <row r="17" spans="1:13" s="75" customFormat="1" ht="14.25" customHeight="1">
      <c r="B17" s="223" t="s">
        <v>108</v>
      </c>
      <c r="C17" s="224"/>
      <c r="D17" s="224"/>
      <c r="E17" s="20" t="s">
        <v>188</v>
      </c>
      <c r="F17" s="36" t="s">
        <v>222</v>
      </c>
      <c r="G17" s="148" t="s">
        <v>87</v>
      </c>
      <c r="H17" s="76" t="s">
        <v>220</v>
      </c>
    </row>
    <row r="18" spans="1:13" s="75" customFormat="1">
      <c r="B18" s="13">
        <v>1</v>
      </c>
      <c r="C18" s="14" t="s">
        <v>194</v>
      </c>
      <c r="D18" s="77"/>
      <c r="E18" s="147">
        <v>7</v>
      </c>
      <c r="F18" s="38"/>
      <c r="G18" s="168"/>
      <c r="H18" s="114"/>
    </row>
    <row r="19" spans="1:13" s="75" customFormat="1">
      <c r="B19" s="232" t="s">
        <v>221</v>
      </c>
      <c r="C19" s="233"/>
      <c r="D19" s="234"/>
      <c r="E19" s="11"/>
      <c r="F19" s="163"/>
      <c r="G19" s="164"/>
      <c r="H19" s="169"/>
    </row>
    <row r="20" spans="1:13" s="158" customFormat="1">
      <c r="A20" s="75"/>
      <c r="B20" s="159">
        <v>2</v>
      </c>
      <c r="C20" s="160" t="s">
        <v>225</v>
      </c>
      <c r="D20" s="161"/>
      <c r="E20" s="147">
        <v>7</v>
      </c>
      <c r="F20" s="218">
        <f>IF(E18=E20,20,0)</f>
        <v>20</v>
      </c>
      <c r="G20" s="220">
        <f>IF($F$20=20,20,(IF($E$21="Yes (in remarks write letter NO/ if Email write emailed date)",20,0)))</f>
        <v>20</v>
      </c>
      <c r="H20" s="170"/>
    </row>
    <row r="21" spans="1:13" s="158" customFormat="1" ht="24">
      <c r="A21" s="75"/>
      <c r="B21" s="15"/>
      <c r="C21" s="165"/>
      <c r="D21" s="162" t="s">
        <v>424</v>
      </c>
      <c r="E21" s="166" t="s">
        <v>422</v>
      </c>
      <c r="F21" s="219"/>
      <c r="G21" s="221"/>
      <c r="H21" s="171"/>
    </row>
    <row r="22" spans="1:13" s="75" customFormat="1">
      <c r="B22" s="15">
        <v>3</v>
      </c>
      <c r="C22" s="78" t="s">
        <v>223</v>
      </c>
      <c r="D22" s="78"/>
      <c r="E22" s="54"/>
      <c r="F22" s="38"/>
      <c r="G22" s="43"/>
      <c r="H22" s="109"/>
    </row>
    <row r="23" spans="1:13" s="75" customFormat="1">
      <c r="B23" s="15"/>
      <c r="C23" s="9" t="s">
        <v>29</v>
      </c>
      <c r="D23" s="16" t="s">
        <v>182</v>
      </c>
      <c r="E23" s="147">
        <v>2</v>
      </c>
      <c r="F23" s="252">
        <f>IF(SUM(E23:E25)&lt;&gt;E20,0,(IF(E23&gt;(E24+E25),0,40)))</f>
        <v>40</v>
      </c>
      <c r="G23" s="255">
        <f>IF(SUM(E23:E25)&lt;&gt;E20,0,(IF($F$23=40,40,(IF($E$26="Yes (in remarks write letter NO/ if Email write emailed date)",40,0)))))</f>
        <v>40</v>
      </c>
      <c r="H23" s="110"/>
    </row>
    <row r="24" spans="1:13" s="74" customFormat="1">
      <c r="A24" s="75"/>
      <c r="B24" s="15"/>
      <c r="C24" s="9" t="s">
        <v>30</v>
      </c>
      <c r="D24" s="16" t="s">
        <v>183</v>
      </c>
      <c r="E24" s="147">
        <v>4</v>
      </c>
      <c r="F24" s="253"/>
      <c r="G24" s="256"/>
      <c r="H24" s="110"/>
    </row>
    <row r="25" spans="1:13" s="74" customFormat="1">
      <c r="A25" s="75"/>
      <c r="B25" s="15"/>
      <c r="C25" s="9" t="s">
        <v>90</v>
      </c>
      <c r="D25" s="16" t="s">
        <v>184</v>
      </c>
      <c r="E25" s="147">
        <v>1</v>
      </c>
      <c r="F25" s="253"/>
      <c r="G25" s="256">
        <f t="shared" ref="G25" si="0">IF(F25=20,20,(IF(E26="Yes (in remarks write letter NO/ if Email write emailed date)",20,0)))</f>
        <v>20</v>
      </c>
      <c r="H25" s="110"/>
    </row>
    <row r="26" spans="1:13" s="74" customFormat="1" ht="24">
      <c r="A26" s="75"/>
      <c r="B26" s="15"/>
      <c r="C26" s="165"/>
      <c r="D26" s="162" t="s">
        <v>424</v>
      </c>
      <c r="E26" s="166" t="s">
        <v>422</v>
      </c>
      <c r="F26" s="254"/>
      <c r="G26" s="257"/>
      <c r="H26" s="167"/>
    </row>
    <row r="27" spans="1:13" s="74" customFormat="1">
      <c r="A27" s="75"/>
      <c r="B27" s="15">
        <v>4</v>
      </c>
      <c r="C27" s="79" t="s">
        <v>224</v>
      </c>
      <c r="D27" s="79"/>
      <c r="E27" s="11"/>
      <c r="F27" s="163"/>
      <c r="G27" s="156"/>
      <c r="H27" s="133"/>
    </row>
    <row r="28" spans="1:13" s="75" customFormat="1">
      <c r="B28" s="134"/>
      <c r="C28" s="102" t="s">
        <v>29</v>
      </c>
      <c r="D28" s="135" t="s">
        <v>185</v>
      </c>
      <c r="E28" s="147">
        <v>6</v>
      </c>
      <c r="F28" s="252">
        <f>IF(SUM(E28:E29)&lt;&gt;E20,0,(IF(E29&gt;0,40,0)))</f>
        <v>40</v>
      </c>
      <c r="G28" s="249">
        <f>IF(SUM(E28:E29)&lt;&gt;E20,0,(IF($F$28=40,40,(IF($E$30="Yes (in remarks write letter NO/ if Email write emailed date)",40,0)))))</f>
        <v>40</v>
      </c>
      <c r="H28" s="110"/>
      <c r="I28" s="74"/>
      <c r="J28" s="74"/>
      <c r="K28" s="74"/>
      <c r="L28" s="74"/>
      <c r="M28" s="74"/>
    </row>
    <row r="29" spans="1:13" s="74" customFormat="1">
      <c r="A29" s="75"/>
      <c r="B29" s="174"/>
      <c r="C29" s="74" t="s">
        <v>30</v>
      </c>
      <c r="D29" s="175" t="s">
        <v>186</v>
      </c>
      <c r="E29" s="147">
        <v>1</v>
      </c>
      <c r="F29" s="253"/>
      <c r="G29" s="250"/>
      <c r="H29" s="110"/>
    </row>
    <row r="30" spans="1:13" s="74" customFormat="1">
      <c r="A30" s="75"/>
      <c r="B30" s="94"/>
      <c r="C30" s="172"/>
      <c r="D30" s="173" t="s">
        <v>424</v>
      </c>
      <c r="E30" s="147" t="s">
        <v>226</v>
      </c>
      <c r="F30" s="258"/>
      <c r="G30" s="251"/>
      <c r="H30" s="167"/>
    </row>
    <row r="31" spans="1:13" s="74" customFormat="1">
      <c r="A31" s="75"/>
      <c r="B31" s="84" t="s">
        <v>86</v>
      </c>
      <c r="C31" s="85"/>
      <c r="D31" s="85"/>
      <c r="E31" s="21"/>
      <c r="F31" s="151">
        <f>F20+F23+F28</f>
        <v>100</v>
      </c>
      <c r="G31" s="151">
        <f>G20+G23+G28</f>
        <v>100</v>
      </c>
      <c r="H31" s="112"/>
    </row>
    <row r="32" spans="1:13" s="74" customFormat="1" ht="14.25" customHeight="1">
      <c r="A32" s="75"/>
      <c r="B32" s="6"/>
      <c r="C32" s="5"/>
      <c r="D32" s="5"/>
      <c r="E32" s="26"/>
      <c r="F32" s="63"/>
      <c r="G32" s="63"/>
      <c r="H32" s="70"/>
    </row>
    <row r="33" spans="1:13" s="75" customFormat="1" ht="14.25" customHeight="1">
      <c r="B33" s="223" t="s">
        <v>129</v>
      </c>
      <c r="C33" s="224"/>
      <c r="D33" s="224"/>
      <c r="E33" s="20" t="s">
        <v>188</v>
      </c>
      <c r="F33" s="36" t="s">
        <v>222</v>
      </c>
      <c r="G33" s="148" t="s">
        <v>87</v>
      </c>
      <c r="H33" s="86" t="s">
        <v>52</v>
      </c>
      <c r="I33" s="74"/>
      <c r="J33" s="74"/>
      <c r="K33" s="74"/>
      <c r="L33" s="74"/>
      <c r="M33" s="74"/>
    </row>
    <row r="34" spans="1:13" s="74" customFormat="1" ht="14.25" customHeight="1">
      <c r="A34" s="75"/>
      <c r="B34" s="13">
        <v>1</v>
      </c>
      <c r="C34" s="241" t="s">
        <v>11</v>
      </c>
      <c r="D34" s="241"/>
      <c r="E34" s="166" t="s">
        <v>227</v>
      </c>
      <c r="F34" s="42">
        <f>IFERROR(VLOOKUP(E34,KPIs!$A$3:$B$6,2,FALSE),0)</f>
        <v>20</v>
      </c>
      <c r="G34" s="42">
        <f>F34</f>
        <v>20</v>
      </c>
      <c r="H34" s="101"/>
    </row>
    <row r="35" spans="1:13" s="75" customFormat="1" ht="14.25" customHeight="1">
      <c r="B35" s="15">
        <v>2</v>
      </c>
      <c r="C35" s="79" t="s">
        <v>12</v>
      </c>
      <c r="D35" s="79"/>
      <c r="E35" s="11"/>
      <c r="F35" s="43"/>
      <c r="G35" s="43"/>
      <c r="H35" s="95"/>
      <c r="I35" s="74"/>
      <c r="J35" s="74"/>
      <c r="K35" s="74"/>
      <c r="L35" s="74"/>
      <c r="M35" s="74"/>
    </row>
    <row r="36" spans="1:13" s="74" customFormat="1">
      <c r="A36" s="75"/>
      <c r="B36" s="87"/>
      <c r="C36" s="9" t="s">
        <v>31</v>
      </c>
      <c r="D36" s="9" t="s">
        <v>13</v>
      </c>
      <c r="E36" s="166" t="s">
        <v>229</v>
      </c>
      <c r="F36" s="44">
        <f>IFERROR(IF($E$34="Not Maintained",0,((VLOOKUP('FORM '!E36,KPIs!$A$8:$B$12,2,FALSE)))),0)</f>
        <v>20</v>
      </c>
      <c r="G36" s="44">
        <f>F36</f>
        <v>20</v>
      </c>
      <c r="H36" s="113"/>
    </row>
    <row r="37" spans="1:13" s="74" customFormat="1" ht="14.25" customHeight="1">
      <c r="A37" s="75"/>
      <c r="B37" s="87"/>
      <c r="C37" s="9" t="s">
        <v>32</v>
      </c>
      <c r="D37" s="9" t="s">
        <v>47</v>
      </c>
      <c r="E37" s="166" t="s">
        <v>229</v>
      </c>
      <c r="F37" s="44">
        <f>IFERROR(IF($E$34="Not Maintained",0,((VLOOKUP('FORM '!E37,KPIs!$A$8:$B$12,2,FALSE)))),0)</f>
        <v>20</v>
      </c>
      <c r="G37" s="44">
        <f t="shared" ref="G37:G39" si="1">F37</f>
        <v>20</v>
      </c>
      <c r="H37" s="113"/>
    </row>
    <row r="38" spans="1:13" s="74" customFormat="1" ht="14.25" customHeight="1">
      <c r="A38" s="75"/>
      <c r="B38" s="87"/>
      <c r="C38" s="9" t="s">
        <v>33</v>
      </c>
      <c r="D38" s="9" t="s">
        <v>14</v>
      </c>
      <c r="E38" s="166" t="s">
        <v>229</v>
      </c>
      <c r="F38" s="44">
        <f>IFERROR(IF($E$34="Not Maintained",0,((VLOOKUP('FORM '!E38,KPIs!$A$8:$B$12,2,FALSE)))),0)</f>
        <v>20</v>
      </c>
      <c r="G38" s="44">
        <f t="shared" si="1"/>
        <v>20</v>
      </c>
      <c r="H38" s="113"/>
    </row>
    <row r="39" spans="1:13" s="74" customFormat="1" ht="14.25" customHeight="1">
      <c r="A39" s="75"/>
      <c r="B39" s="82"/>
      <c r="C39" s="10" t="s">
        <v>34</v>
      </c>
      <c r="D39" s="10" t="s">
        <v>154</v>
      </c>
      <c r="E39" s="166" t="s">
        <v>229</v>
      </c>
      <c r="F39" s="44">
        <f>IFERROR(IF($E$34="Not Maintained",0,((VLOOKUP('FORM '!E39,KPIs!$A$8:$B$12,2,FALSE)))),0)</f>
        <v>20</v>
      </c>
      <c r="G39" s="44">
        <f t="shared" si="1"/>
        <v>20</v>
      </c>
      <c r="H39" s="113"/>
    </row>
    <row r="40" spans="1:13" s="74" customFormat="1" ht="14.25" customHeight="1">
      <c r="A40" s="75"/>
      <c r="B40" s="84" t="s">
        <v>86</v>
      </c>
      <c r="C40" s="85"/>
      <c r="D40" s="85"/>
      <c r="E40" s="21"/>
      <c r="F40" s="41">
        <f>SUM(F34:F39)</f>
        <v>100</v>
      </c>
      <c r="G40" s="41">
        <f>SUM(G34:G39)</f>
        <v>100</v>
      </c>
      <c r="H40" s="112"/>
    </row>
    <row r="41" spans="1:13" s="74" customFormat="1" ht="14.25" customHeight="1">
      <c r="A41" s="75"/>
      <c r="B41" s="6"/>
      <c r="C41" s="5"/>
      <c r="D41" s="5"/>
      <c r="E41" s="26"/>
      <c r="F41" s="63"/>
      <c r="G41" s="63"/>
      <c r="H41" s="70"/>
    </row>
    <row r="42" spans="1:13" s="75" customFormat="1" ht="14.25" customHeight="1">
      <c r="B42" s="223" t="s">
        <v>109</v>
      </c>
      <c r="C42" s="224"/>
      <c r="D42" s="224"/>
      <c r="E42" s="20" t="s">
        <v>188</v>
      </c>
      <c r="F42" s="36" t="s">
        <v>222</v>
      </c>
      <c r="G42" s="148" t="s">
        <v>87</v>
      </c>
      <c r="H42" s="76" t="s">
        <v>52</v>
      </c>
      <c r="I42" s="74"/>
      <c r="J42" s="74"/>
      <c r="K42" s="74"/>
      <c r="L42" s="74"/>
      <c r="M42" s="74"/>
    </row>
    <row r="43" spans="1:13" s="74" customFormat="1" ht="14.25" customHeight="1">
      <c r="A43" s="75"/>
      <c r="B43" s="15">
        <v>1</v>
      </c>
      <c r="C43" s="214" t="s">
        <v>248</v>
      </c>
      <c r="D43" s="214"/>
      <c r="E43" s="166" t="s">
        <v>249</v>
      </c>
      <c r="F43" s="48">
        <f>IF(E43="Yes",8,0)</f>
        <v>8</v>
      </c>
      <c r="G43" s="153">
        <f>F43</f>
        <v>8</v>
      </c>
      <c r="H43" s="115"/>
    </row>
    <row r="44" spans="1:13" s="74" customFormat="1" ht="14.25" customHeight="1">
      <c r="A44" s="75"/>
      <c r="B44" s="15">
        <v>2</v>
      </c>
      <c r="C44" s="214" t="s">
        <v>254</v>
      </c>
      <c r="D44" s="214"/>
      <c r="E44" s="166">
        <v>2025</v>
      </c>
      <c r="F44" s="48">
        <f>IF(E44="Not Revised",0,(IF(E44&gt;2024,6,0)))</f>
        <v>6</v>
      </c>
      <c r="G44" s="153">
        <f t="shared" ref="G44:G45" si="2">F44</f>
        <v>6</v>
      </c>
      <c r="H44" s="115"/>
    </row>
    <row r="45" spans="1:13" s="74" customFormat="1" ht="14.25" customHeight="1">
      <c r="A45" s="75"/>
      <c r="B45" s="15">
        <v>3</v>
      </c>
      <c r="C45" s="214" t="s">
        <v>423</v>
      </c>
      <c r="D45" s="214" t="s">
        <v>3</v>
      </c>
      <c r="E45" s="166">
        <v>2019</v>
      </c>
      <c r="F45" s="48">
        <f>IF(E45="Not Revised",0,(IF(E45&gt;2018,6,0)))</f>
        <v>6</v>
      </c>
      <c r="G45" s="153">
        <f t="shared" si="2"/>
        <v>6</v>
      </c>
      <c r="H45" s="116"/>
    </row>
    <row r="46" spans="1:13" s="74" customFormat="1" ht="14.25" customHeight="1">
      <c r="A46" s="75"/>
      <c r="B46" s="15">
        <v>4</v>
      </c>
      <c r="C46" s="222" t="s">
        <v>85</v>
      </c>
      <c r="D46" s="222"/>
      <c r="E46" s="22"/>
      <c r="F46" s="46"/>
      <c r="G46" s="152"/>
      <c r="H46" s="109"/>
    </row>
    <row r="47" spans="1:13" s="74" customFormat="1" ht="14.25" customHeight="1">
      <c r="A47" s="75"/>
      <c r="B47" s="87"/>
      <c r="C47" s="32" t="s">
        <v>31</v>
      </c>
      <c r="D47" s="32" t="s">
        <v>247</v>
      </c>
      <c r="E47" s="166" t="s">
        <v>239</v>
      </c>
      <c r="F47" s="47">
        <f>IFERROR(VLOOKUP(E47,KPIs!$A$16:$B$21,2,FALSE),0)</f>
        <v>8</v>
      </c>
      <c r="G47" s="153">
        <f>F47</f>
        <v>8</v>
      </c>
      <c r="H47" s="115"/>
    </row>
    <row r="48" spans="1:13" s="74" customFormat="1" ht="14.25" customHeight="1">
      <c r="A48" s="75"/>
      <c r="B48" s="87"/>
      <c r="C48" s="32" t="s">
        <v>32</v>
      </c>
      <c r="D48" s="32" t="s">
        <v>246</v>
      </c>
      <c r="E48" s="166" t="s">
        <v>239</v>
      </c>
      <c r="F48" s="47">
        <f>IFERROR(VLOOKUP(E48,KPIs!$A$16:$B$21,2,FALSE),0)</f>
        <v>8</v>
      </c>
      <c r="G48" s="153">
        <f t="shared" ref="G48:G56" si="3">F48</f>
        <v>8</v>
      </c>
      <c r="H48" s="115"/>
    </row>
    <row r="49" spans="1:13" s="74" customFormat="1" ht="14.25" customHeight="1">
      <c r="A49" s="75"/>
      <c r="B49" s="87"/>
      <c r="C49" s="32" t="s">
        <v>33</v>
      </c>
      <c r="D49" s="32" t="s">
        <v>245</v>
      </c>
      <c r="E49" s="166" t="s">
        <v>239</v>
      </c>
      <c r="F49" s="47">
        <f>IFERROR(VLOOKUP(E49,KPIs!$A$16:$B$21,2,FALSE),0)</f>
        <v>8</v>
      </c>
      <c r="G49" s="153">
        <f t="shared" si="3"/>
        <v>8</v>
      </c>
      <c r="H49" s="115"/>
    </row>
    <row r="50" spans="1:13" s="74" customFormat="1" ht="14.25" customHeight="1">
      <c r="A50" s="75"/>
      <c r="B50" s="87"/>
      <c r="C50" s="32" t="s">
        <v>34</v>
      </c>
      <c r="D50" s="32" t="s">
        <v>244</v>
      </c>
      <c r="E50" s="166" t="s">
        <v>239</v>
      </c>
      <c r="F50" s="47">
        <f>IFERROR(VLOOKUP(E50,KPIs!$A$16:$B$21,2,FALSE),0)</f>
        <v>8</v>
      </c>
      <c r="G50" s="153">
        <f t="shared" si="3"/>
        <v>8</v>
      </c>
      <c r="H50" s="115"/>
    </row>
    <row r="51" spans="1:13" s="74" customFormat="1" ht="14.25" customHeight="1">
      <c r="A51" s="75"/>
      <c r="B51" s="87"/>
      <c r="C51" s="32" t="s">
        <v>35</v>
      </c>
      <c r="D51" s="32" t="s">
        <v>243</v>
      </c>
      <c r="E51" s="166" t="s">
        <v>239</v>
      </c>
      <c r="F51" s="47">
        <f>IFERROR(VLOOKUP(E51,KPIs!$A$16:$B$21,2,FALSE),0)</f>
        <v>8</v>
      </c>
      <c r="G51" s="153">
        <f t="shared" si="3"/>
        <v>8</v>
      </c>
      <c r="H51" s="115"/>
    </row>
    <row r="52" spans="1:13" s="74" customFormat="1" ht="14.25" customHeight="1">
      <c r="A52" s="75"/>
      <c r="B52" s="87"/>
      <c r="C52" s="32" t="s">
        <v>36</v>
      </c>
      <c r="D52" s="180" t="s">
        <v>242</v>
      </c>
      <c r="E52" s="166" t="s">
        <v>239</v>
      </c>
      <c r="F52" s="47">
        <f>IFERROR(VLOOKUP(E52,KPIs!$A$16:$B$21,2,FALSE),0)</f>
        <v>8</v>
      </c>
      <c r="G52" s="153">
        <f t="shared" si="3"/>
        <v>8</v>
      </c>
      <c r="H52" s="115"/>
    </row>
    <row r="53" spans="1:13" s="74" customFormat="1">
      <c r="A53" s="75"/>
      <c r="B53" s="87"/>
      <c r="C53" s="32" t="s">
        <v>37</v>
      </c>
      <c r="D53" s="180" t="s">
        <v>253</v>
      </c>
      <c r="E53" s="166" t="s">
        <v>239</v>
      </c>
      <c r="F53" s="47">
        <f>IFERROR(VLOOKUP(E53,KPIs!$A$16:$B$21,2,FALSE),0)</f>
        <v>8</v>
      </c>
      <c r="G53" s="153">
        <f t="shared" si="3"/>
        <v>8</v>
      </c>
      <c r="H53" s="115"/>
    </row>
    <row r="54" spans="1:13" s="74" customFormat="1" ht="14.25" customHeight="1">
      <c r="A54" s="75"/>
      <c r="B54" s="87"/>
      <c r="C54" s="32" t="s">
        <v>38</v>
      </c>
      <c r="D54" s="180" t="s">
        <v>240</v>
      </c>
      <c r="E54" s="166" t="s">
        <v>239</v>
      </c>
      <c r="F54" s="47">
        <f>IFERROR(VLOOKUP(E54,KPIs!$A$16:$B$21,2,FALSE),0)</f>
        <v>8</v>
      </c>
      <c r="G54" s="153">
        <f t="shared" si="3"/>
        <v>8</v>
      </c>
      <c r="H54" s="115"/>
    </row>
    <row r="55" spans="1:13" s="74" customFormat="1" ht="14.25" customHeight="1">
      <c r="A55" s="75"/>
      <c r="B55" s="87"/>
      <c r="C55" s="32" t="s">
        <v>251</v>
      </c>
      <c r="D55" s="180" t="s">
        <v>241</v>
      </c>
      <c r="E55" s="166" t="s">
        <v>239</v>
      </c>
      <c r="F55" s="47">
        <f>IFERROR(VLOOKUP(E55,KPIs!$A$16:$B$21,2,FALSE),0)</f>
        <v>8</v>
      </c>
      <c r="G55" s="153">
        <f t="shared" si="3"/>
        <v>8</v>
      </c>
      <c r="H55" s="115"/>
    </row>
    <row r="56" spans="1:13" s="74" customFormat="1" ht="14.25" customHeight="1">
      <c r="A56" s="75"/>
      <c r="B56" s="82"/>
      <c r="C56" s="31" t="s">
        <v>252</v>
      </c>
      <c r="D56" s="181" t="s">
        <v>250</v>
      </c>
      <c r="E56" s="166" t="s">
        <v>239</v>
      </c>
      <c r="F56" s="47">
        <f>IFERROR(VLOOKUP(E56,KPIs!$A$16:$B$21,2,FALSE),0)</f>
        <v>8</v>
      </c>
      <c r="G56" s="153">
        <f t="shared" si="3"/>
        <v>8</v>
      </c>
      <c r="H56" s="113"/>
    </row>
    <row r="57" spans="1:13" s="74" customFormat="1" ht="14.25" customHeight="1">
      <c r="A57" s="75"/>
      <c r="B57" s="179" t="s">
        <v>86</v>
      </c>
      <c r="C57" s="178"/>
      <c r="D57" s="178"/>
      <c r="E57" s="21"/>
      <c r="F57" s="41">
        <f>SUM(F43:F56)</f>
        <v>100</v>
      </c>
      <c r="G57" s="41">
        <f>SUM(G43:G56)</f>
        <v>100</v>
      </c>
      <c r="H57" s="112"/>
    </row>
    <row r="58" spans="1:13" s="74" customFormat="1" ht="14.25" customHeight="1">
      <c r="A58" s="75"/>
      <c r="B58" s="6"/>
      <c r="C58" s="5"/>
      <c r="D58" s="5"/>
      <c r="E58" s="26"/>
      <c r="F58" s="63"/>
      <c r="G58" s="63"/>
      <c r="H58" s="70"/>
    </row>
    <row r="59" spans="1:13" s="75" customFormat="1" ht="14.25" customHeight="1">
      <c r="B59" s="223" t="s">
        <v>110</v>
      </c>
      <c r="C59" s="224"/>
      <c r="D59" s="224"/>
      <c r="E59" s="20" t="s">
        <v>188</v>
      </c>
      <c r="F59" s="36" t="s">
        <v>222</v>
      </c>
      <c r="G59" s="148" t="s">
        <v>87</v>
      </c>
      <c r="H59" s="86" t="s">
        <v>52</v>
      </c>
      <c r="I59" s="74"/>
      <c r="J59" s="74"/>
      <c r="K59" s="74"/>
      <c r="L59" s="74"/>
      <c r="M59" s="74"/>
    </row>
    <row r="60" spans="1:13" s="74" customFormat="1" ht="14.25" customHeight="1">
      <c r="A60" s="75"/>
      <c r="B60" s="13">
        <v>1</v>
      </c>
      <c r="C60" s="241" t="s">
        <v>9</v>
      </c>
      <c r="D60" s="241"/>
      <c r="E60" s="166" t="s">
        <v>259</v>
      </c>
      <c r="F60" s="37">
        <f>IF(E60="have",15, 0)</f>
        <v>15</v>
      </c>
      <c r="G60" s="153">
        <f>F60</f>
        <v>15</v>
      </c>
      <c r="H60" s="114"/>
    </row>
    <row r="61" spans="1:13" s="74" customFormat="1" ht="14.25" customHeight="1">
      <c r="A61" s="75"/>
      <c r="B61" s="15">
        <v>2</v>
      </c>
      <c r="C61" s="214" t="s">
        <v>215</v>
      </c>
      <c r="D61" s="214"/>
      <c r="E61" s="166" t="s">
        <v>260</v>
      </c>
      <c r="F61" s="48">
        <f>IFERROR(VLOOKUP(E61,KPIs!$D$2:$E$7,2,FALSE),0)</f>
        <v>15</v>
      </c>
      <c r="G61" s="153">
        <f t="shared" ref="G61:G67" si="4">F61</f>
        <v>15</v>
      </c>
      <c r="H61" s="115"/>
    </row>
    <row r="62" spans="1:13" s="74" customFormat="1" ht="14.25" customHeight="1">
      <c r="A62" s="75"/>
      <c r="B62" s="15">
        <v>3</v>
      </c>
      <c r="C62" s="214" t="s">
        <v>55</v>
      </c>
      <c r="D62" s="214"/>
      <c r="E62" s="166" t="s">
        <v>227</v>
      </c>
      <c r="F62" s="48">
        <f>IFERROR(VLOOKUP(E62,KPIs!$D$10:$E$12,2,FALSE),0)</f>
        <v>10</v>
      </c>
      <c r="G62" s="153">
        <f t="shared" si="4"/>
        <v>10</v>
      </c>
      <c r="H62" s="115"/>
    </row>
    <row r="63" spans="1:13" s="74" customFormat="1" ht="14.25" customHeight="1">
      <c r="A63" s="75"/>
      <c r="B63" s="15">
        <v>4</v>
      </c>
      <c r="C63" s="214" t="s">
        <v>146</v>
      </c>
      <c r="D63" s="214"/>
      <c r="E63" s="166" t="s">
        <v>262</v>
      </c>
      <c r="F63" s="48">
        <f>IFERROR(VLOOKUP(E63,KPIs!$D$16:$E$20,2,FALSE),2)</f>
        <v>12</v>
      </c>
      <c r="G63" s="153">
        <f t="shared" si="4"/>
        <v>12</v>
      </c>
      <c r="H63" s="116"/>
    </row>
    <row r="64" spans="1:13" s="74" customFormat="1" ht="14.25" customHeight="1">
      <c r="A64" s="75"/>
      <c r="B64" s="15">
        <v>5</v>
      </c>
      <c r="C64" s="214" t="s">
        <v>148</v>
      </c>
      <c r="D64" s="214"/>
      <c r="E64" s="166" t="s">
        <v>268</v>
      </c>
      <c r="F64" s="48">
        <f>IFERROR(VLOOKUP(E64,KPIs!$D$23:$E$26,2,FALSE),0)</f>
        <v>12</v>
      </c>
      <c r="G64" s="153">
        <f t="shared" si="4"/>
        <v>12</v>
      </c>
      <c r="H64" s="116"/>
    </row>
    <row r="65" spans="1:10" s="74" customFormat="1" ht="14.25" customHeight="1">
      <c r="A65" s="75"/>
      <c r="B65" s="15">
        <v>6</v>
      </c>
      <c r="C65" s="214" t="s">
        <v>147</v>
      </c>
      <c r="D65" s="214"/>
      <c r="E65" s="166" t="s">
        <v>269</v>
      </c>
      <c r="F65" s="48">
        <f>IFERROR(VLOOKUP(E65,KPIs!$D$29:$E$31,2,FALSE),0)</f>
        <v>12</v>
      </c>
      <c r="G65" s="153">
        <f t="shared" si="4"/>
        <v>12</v>
      </c>
      <c r="H65" s="116"/>
    </row>
    <row r="66" spans="1:10" s="74" customFormat="1" ht="14.25" customHeight="1">
      <c r="A66" s="75"/>
      <c r="B66" s="15">
        <v>7</v>
      </c>
      <c r="C66" s="214" t="s">
        <v>10</v>
      </c>
      <c r="D66" s="214"/>
      <c r="E66" s="166" t="s">
        <v>272</v>
      </c>
      <c r="F66" s="48">
        <f>IFERROR(VLOOKUP(E66,KPIs!$D$34:$E$45,2,FALSE),0)</f>
        <v>12</v>
      </c>
      <c r="G66" s="153">
        <f t="shared" si="4"/>
        <v>12</v>
      </c>
      <c r="H66" s="116"/>
    </row>
    <row r="67" spans="1:10" s="74" customFormat="1" ht="14.25" customHeight="1">
      <c r="A67" s="75"/>
      <c r="B67" s="12">
        <v>8</v>
      </c>
      <c r="C67" s="214" t="s">
        <v>54</v>
      </c>
      <c r="D67" s="214"/>
      <c r="E67" s="166" t="s">
        <v>272</v>
      </c>
      <c r="F67" s="49">
        <f>IFERROR(VLOOKUP(E67,KPIs!$D$42:$E$47,2,FALSE),0)</f>
        <v>12</v>
      </c>
      <c r="G67" s="153">
        <f t="shared" si="4"/>
        <v>12</v>
      </c>
      <c r="H67" s="116"/>
    </row>
    <row r="68" spans="1:10" s="74" customFormat="1" ht="14.25" customHeight="1">
      <c r="A68" s="75"/>
      <c r="B68" s="84" t="s">
        <v>86</v>
      </c>
      <c r="C68" s="85"/>
      <c r="D68" s="85"/>
      <c r="E68" s="21"/>
      <c r="F68" s="41">
        <f>SUM(F60:F67)</f>
        <v>100</v>
      </c>
      <c r="G68" s="41">
        <f>SUM(G60:G67)</f>
        <v>100</v>
      </c>
      <c r="H68" s="112"/>
    </row>
    <row r="69" spans="1:10" s="74" customFormat="1" ht="14.25" customHeight="1">
      <c r="A69" s="75"/>
      <c r="B69" s="6"/>
      <c r="C69" s="5"/>
      <c r="D69" s="5"/>
      <c r="E69" s="26"/>
      <c r="F69" s="63"/>
      <c r="G69" s="63"/>
      <c r="H69" s="70"/>
    </row>
    <row r="70" spans="1:10" s="75" customFormat="1" ht="14.25" customHeight="1">
      <c r="B70" s="223" t="s">
        <v>111</v>
      </c>
      <c r="C70" s="224"/>
      <c r="D70" s="224"/>
      <c r="E70" s="20" t="s">
        <v>188</v>
      </c>
      <c r="F70" s="36" t="s">
        <v>222</v>
      </c>
      <c r="G70" s="148" t="s">
        <v>87</v>
      </c>
      <c r="H70" s="86" t="s">
        <v>52</v>
      </c>
    </row>
    <row r="71" spans="1:10" s="74" customFormat="1" ht="14.25" customHeight="1">
      <c r="A71" s="75"/>
      <c r="B71" s="13">
        <v>1</v>
      </c>
      <c r="C71" s="240" t="s">
        <v>294</v>
      </c>
      <c r="D71" s="240"/>
      <c r="E71" s="166" t="s">
        <v>279</v>
      </c>
      <c r="F71" s="42">
        <f>IFERROR(VLOOKUP(E71,KPIs!$H$3:$I$6,2,FALSE),0)</f>
        <v>14</v>
      </c>
      <c r="G71" s="42">
        <f>F71</f>
        <v>14</v>
      </c>
      <c r="H71" s="116"/>
    </row>
    <row r="72" spans="1:10" s="74" customFormat="1" ht="14.25" customHeight="1">
      <c r="A72" s="75"/>
      <c r="B72" s="15">
        <v>2</v>
      </c>
      <c r="C72" s="215" t="s">
        <v>293</v>
      </c>
      <c r="D72" s="215"/>
      <c r="E72" s="166" t="s">
        <v>290</v>
      </c>
      <c r="F72" s="44">
        <f>IF(E72="completed",14,0)</f>
        <v>14</v>
      </c>
      <c r="G72" s="44">
        <f>F72</f>
        <v>14</v>
      </c>
      <c r="H72" s="116"/>
    </row>
    <row r="73" spans="1:10" s="74" customFormat="1" ht="14.25" customHeight="1">
      <c r="A73" s="75"/>
      <c r="B73" s="15">
        <v>3</v>
      </c>
      <c r="C73" s="215" t="s">
        <v>292</v>
      </c>
      <c r="D73" s="215"/>
      <c r="E73" s="166" t="s">
        <v>279</v>
      </c>
      <c r="F73" s="44">
        <f>VLOOKUP(E73,KPIs!$H$9:$I$12,2,FALSE)</f>
        <v>14</v>
      </c>
      <c r="G73" s="44">
        <f t="shared" ref="G73:G76" si="5">F73</f>
        <v>14</v>
      </c>
      <c r="H73" s="116"/>
    </row>
    <row r="74" spans="1:10" s="74" customFormat="1" ht="14.25" customHeight="1">
      <c r="A74" s="75"/>
      <c r="B74" s="15">
        <v>4</v>
      </c>
      <c r="C74" s="16" t="s">
        <v>295</v>
      </c>
      <c r="D74" s="67"/>
      <c r="E74" s="166" t="s">
        <v>249</v>
      </c>
      <c r="F74" s="39">
        <f>IF(E74="Yes",10,0)</f>
        <v>10</v>
      </c>
      <c r="G74" s="44">
        <f t="shared" si="5"/>
        <v>10</v>
      </c>
      <c r="H74" s="116"/>
    </row>
    <row r="75" spans="1:10" s="70" customFormat="1" ht="14.25" customHeight="1">
      <c r="A75" s="75"/>
      <c r="B75" s="15">
        <v>5</v>
      </c>
      <c r="C75" s="215" t="s">
        <v>196</v>
      </c>
      <c r="D75" s="215"/>
      <c r="E75" s="166" t="s">
        <v>279</v>
      </c>
      <c r="F75" s="44">
        <f>VLOOKUP(E75,KPIs!$H$3:$I$6,2,FALSE)</f>
        <v>14</v>
      </c>
      <c r="G75" s="44">
        <f t="shared" si="5"/>
        <v>14</v>
      </c>
      <c r="H75" s="116"/>
    </row>
    <row r="76" spans="1:10" s="74" customFormat="1" ht="14.25" customHeight="1">
      <c r="A76" s="75"/>
      <c r="B76" s="15">
        <v>6</v>
      </c>
      <c r="C76" s="215" t="s">
        <v>197</v>
      </c>
      <c r="D76" s="215"/>
      <c r="E76" s="166" t="s">
        <v>272</v>
      </c>
      <c r="F76" s="44">
        <f>IF(E76="Monthly",10, IF(E76="Quarterly",10, IF(E76="Bi-annually",10,  IF(E76="Annually",10, 0 ))))</f>
        <v>10</v>
      </c>
      <c r="G76" s="44">
        <f t="shared" si="5"/>
        <v>10</v>
      </c>
      <c r="H76" s="116"/>
    </row>
    <row r="77" spans="1:10" s="75" customFormat="1" ht="14.25" customHeight="1">
      <c r="B77" s="15">
        <v>7</v>
      </c>
      <c r="C77" s="268" t="s">
        <v>198</v>
      </c>
      <c r="D77" s="268"/>
      <c r="E77" s="23"/>
      <c r="F77" s="38"/>
      <c r="G77" s="43"/>
      <c r="H77" s="116"/>
      <c r="J77" s="74"/>
    </row>
    <row r="78" spans="1:10" s="74" customFormat="1" ht="14.25" customHeight="1">
      <c r="A78" s="75"/>
      <c r="B78" s="15"/>
      <c r="C78" s="9" t="s">
        <v>31</v>
      </c>
      <c r="D78" s="67" t="s">
        <v>21</v>
      </c>
      <c r="E78" s="166" t="s">
        <v>249</v>
      </c>
      <c r="F78" s="50">
        <f>IF(E78="Yes",IF(OR($E$73="All Directors have completed",$E$73="Majority completed",$E$73="Few completed"),4,0),0)</f>
        <v>4</v>
      </c>
      <c r="G78" s="50">
        <f>F78</f>
        <v>4</v>
      </c>
      <c r="H78" s="116"/>
    </row>
    <row r="79" spans="1:10" s="74" customFormat="1" ht="14.25" customHeight="1">
      <c r="A79" s="75"/>
      <c r="B79" s="15"/>
      <c r="C79" s="9" t="s">
        <v>32</v>
      </c>
      <c r="D79" s="67" t="s">
        <v>22</v>
      </c>
      <c r="E79" s="166" t="s">
        <v>249</v>
      </c>
      <c r="F79" s="50">
        <f t="shared" ref="F79:F83" si="6">IF(E79="Yes",IF(OR($E$73="All Directors have completed",$E$73="Majority completed",$E$73="Few completed"),4,0),0)</f>
        <v>4</v>
      </c>
      <c r="G79" s="50">
        <f t="shared" ref="G79:G83" si="7">F79</f>
        <v>4</v>
      </c>
      <c r="H79" s="116"/>
    </row>
    <row r="80" spans="1:10" s="74" customFormat="1" ht="14.25" customHeight="1">
      <c r="A80" s="75"/>
      <c r="B80" s="15"/>
      <c r="C80" s="9" t="s">
        <v>33</v>
      </c>
      <c r="D80" s="67" t="s">
        <v>23</v>
      </c>
      <c r="E80" s="166" t="s">
        <v>249</v>
      </c>
      <c r="F80" s="50">
        <f t="shared" si="6"/>
        <v>4</v>
      </c>
      <c r="G80" s="50">
        <f t="shared" si="7"/>
        <v>4</v>
      </c>
      <c r="H80" s="116"/>
    </row>
    <row r="81" spans="1:10" s="74" customFormat="1" ht="14.25" customHeight="1">
      <c r="A81" s="75"/>
      <c r="B81" s="15"/>
      <c r="C81" s="9" t="s">
        <v>34</v>
      </c>
      <c r="D81" s="67" t="s">
        <v>24</v>
      </c>
      <c r="E81" s="166" t="s">
        <v>249</v>
      </c>
      <c r="F81" s="50">
        <f t="shared" si="6"/>
        <v>4</v>
      </c>
      <c r="G81" s="50">
        <f t="shared" si="7"/>
        <v>4</v>
      </c>
      <c r="H81" s="116"/>
    </row>
    <row r="82" spans="1:10" s="74" customFormat="1" ht="14.25" customHeight="1">
      <c r="A82" s="75"/>
      <c r="B82" s="15"/>
      <c r="C82" s="9" t="s">
        <v>35</v>
      </c>
      <c r="D82" s="67" t="s">
        <v>25</v>
      </c>
      <c r="E82" s="166" t="s">
        <v>249</v>
      </c>
      <c r="F82" s="50">
        <f t="shared" si="6"/>
        <v>4</v>
      </c>
      <c r="G82" s="50">
        <f t="shared" si="7"/>
        <v>4</v>
      </c>
      <c r="H82" s="116"/>
    </row>
    <row r="83" spans="1:10" s="74" customFormat="1" ht="14.25" customHeight="1">
      <c r="A83" s="75"/>
      <c r="B83" s="12"/>
      <c r="C83" s="10" t="s">
        <v>36</v>
      </c>
      <c r="D83" s="69" t="s">
        <v>26</v>
      </c>
      <c r="E83" s="166" t="s">
        <v>249</v>
      </c>
      <c r="F83" s="50">
        <f t="shared" si="6"/>
        <v>4</v>
      </c>
      <c r="G83" s="50">
        <f t="shared" si="7"/>
        <v>4</v>
      </c>
      <c r="H83" s="116"/>
    </row>
    <row r="84" spans="1:10" s="74" customFormat="1" ht="14.25" customHeight="1">
      <c r="A84" s="75"/>
      <c r="B84" s="84" t="s">
        <v>86</v>
      </c>
      <c r="C84" s="85"/>
      <c r="D84" s="85"/>
      <c r="E84" s="21"/>
      <c r="F84" s="41">
        <f>SUM(F71:F83)</f>
        <v>100</v>
      </c>
      <c r="G84" s="41">
        <f>SUM(G71:G83)</f>
        <v>100</v>
      </c>
      <c r="H84" s="112"/>
    </row>
    <row r="85" spans="1:10" s="74" customFormat="1" ht="14.25" customHeight="1">
      <c r="A85" s="75"/>
      <c r="B85" s="6"/>
      <c r="C85" s="5"/>
      <c r="D85" s="5"/>
      <c r="E85" s="26"/>
      <c r="F85" s="63"/>
      <c r="G85" s="63"/>
      <c r="H85" s="70"/>
    </row>
    <row r="86" spans="1:10" s="80" customFormat="1" ht="14.25" customHeight="1">
      <c r="A86" s="75"/>
      <c r="B86" s="89" t="s">
        <v>119</v>
      </c>
      <c r="C86" s="90"/>
      <c r="D86" s="90"/>
      <c r="E86" s="20" t="s">
        <v>188</v>
      </c>
      <c r="F86" s="36" t="s">
        <v>222</v>
      </c>
      <c r="G86" s="148" t="s">
        <v>87</v>
      </c>
      <c r="H86" s="86" t="s">
        <v>52</v>
      </c>
      <c r="I86" s="75"/>
      <c r="J86" s="75"/>
    </row>
    <row r="87" spans="1:10" s="70" customFormat="1" ht="14.25" customHeight="1">
      <c r="A87" s="75"/>
      <c r="B87" s="13">
        <v>1</v>
      </c>
      <c r="C87" s="240" t="s">
        <v>15</v>
      </c>
      <c r="D87" s="240"/>
      <c r="E87" s="166" t="s">
        <v>227</v>
      </c>
      <c r="F87" s="45">
        <f>VLOOKUP(E87,KPIs!$H$15:$I$18,2,FALSE)</f>
        <v>16</v>
      </c>
      <c r="G87" s="45">
        <f>F87</f>
        <v>16</v>
      </c>
      <c r="H87" s="116"/>
    </row>
    <row r="88" spans="1:10" s="70" customFormat="1" ht="14.25" customHeight="1">
      <c r="A88" s="75"/>
      <c r="B88" s="15">
        <v>2</v>
      </c>
      <c r="C88" s="215" t="s">
        <v>139</v>
      </c>
      <c r="D88" s="215"/>
      <c r="E88" s="166" t="s">
        <v>249</v>
      </c>
      <c r="F88" s="39">
        <f>IF($E$87="Not Maintained",0,(IF('FORM '!E88="yes",10,0)))</f>
        <v>10</v>
      </c>
      <c r="G88" s="45">
        <f>F88</f>
        <v>10</v>
      </c>
      <c r="H88" s="116" t="s">
        <v>187</v>
      </c>
    </row>
    <row r="89" spans="1:10" s="70" customFormat="1" ht="14.25" customHeight="1">
      <c r="A89" s="75"/>
      <c r="B89" s="15">
        <v>3</v>
      </c>
      <c r="C89" s="215" t="s">
        <v>83</v>
      </c>
      <c r="D89" s="215"/>
      <c r="E89" s="23"/>
      <c r="F89" s="38"/>
      <c r="G89" s="43"/>
      <c r="H89" s="116"/>
    </row>
    <row r="90" spans="1:10" s="74" customFormat="1" ht="14.25" customHeight="1">
      <c r="A90" s="75"/>
      <c r="B90" s="87"/>
      <c r="C90" s="9" t="s">
        <v>62</v>
      </c>
      <c r="D90" s="67" t="s">
        <v>16</v>
      </c>
      <c r="E90" s="166" t="s">
        <v>249</v>
      </c>
      <c r="F90" s="39">
        <f>IF($E$87="Not Maintained",0,(IF('FORM '!E90="yes",10,0)))</f>
        <v>10</v>
      </c>
      <c r="G90" s="39">
        <f>F90</f>
        <v>10</v>
      </c>
      <c r="H90" s="116"/>
      <c r="J90" s="70"/>
    </row>
    <row r="91" spans="1:10" s="74" customFormat="1" ht="14.25" customHeight="1">
      <c r="A91" s="75"/>
      <c r="B91" s="15"/>
      <c r="C91" s="9" t="s">
        <v>62</v>
      </c>
      <c r="D91" s="67" t="s">
        <v>48</v>
      </c>
      <c r="E91" s="166" t="s">
        <v>249</v>
      </c>
      <c r="F91" s="39">
        <f>IF($E$87="Not Maintained",0,(IF('FORM '!E91="yes",10,0)))</f>
        <v>10</v>
      </c>
      <c r="G91" s="39">
        <f t="shared" ref="G91:G96" si="8">F91</f>
        <v>10</v>
      </c>
      <c r="H91" s="116"/>
      <c r="J91" s="70"/>
    </row>
    <row r="92" spans="1:10" s="74" customFormat="1" ht="14.25" customHeight="1">
      <c r="A92" s="75"/>
      <c r="B92" s="15"/>
      <c r="C92" s="9" t="s">
        <v>62</v>
      </c>
      <c r="D92" s="67" t="s">
        <v>17</v>
      </c>
      <c r="E92" s="166" t="s">
        <v>249</v>
      </c>
      <c r="F92" s="39">
        <f>IF($E$87="Not Maintained",0,(IF('FORM '!E92="yes",10,0)))</f>
        <v>10</v>
      </c>
      <c r="G92" s="39">
        <f t="shared" si="8"/>
        <v>10</v>
      </c>
      <c r="H92" s="116"/>
      <c r="J92" s="70"/>
    </row>
    <row r="93" spans="1:10" s="74" customFormat="1" ht="14.25" customHeight="1">
      <c r="A93" s="75"/>
      <c r="B93" s="15"/>
      <c r="C93" s="9" t="s">
        <v>62</v>
      </c>
      <c r="D93" s="67" t="s">
        <v>49</v>
      </c>
      <c r="E93" s="166" t="s">
        <v>249</v>
      </c>
      <c r="F93" s="39">
        <f>IF($E$87="Not Maintained",0,(IF('FORM '!E93="yes",10,0)))</f>
        <v>10</v>
      </c>
      <c r="G93" s="39">
        <f t="shared" si="8"/>
        <v>10</v>
      </c>
      <c r="H93" s="116"/>
      <c r="J93" s="70"/>
    </row>
    <row r="94" spans="1:10" s="74" customFormat="1" ht="14.25" customHeight="1">
      <c r="A94" s="75"/>
      <c r="B94" s="15"/>
      <c r="C94" s="9" t="s">
        <v>62</v>
      </c>
      <c r="D94" s="67" t="s">
        <v>18</v>
      </c>
      <c r="E94" s="166" t="s">
        <v>249</v>
      </c>
      <c r="F94" s="39">
        <f>IF($E$87="Not Maintained",0,(IF('FORM '!E94="yes",10,0)))</f>
        <v>10</v>
      </c>
      <c r="G94" s="39">
        <f t="shared" si="8"/>
        <v>10</v>
      </c>
      <c r="H94" s="116"/>
      <c r="J94" s="70"/>
    </row>
    <row r="95" spans="1:10" s="74" customFormat="1" ht="14.25" customHeight="1">
      <c r="A95" s="75"/>
      <c r="B95" s="12"/>
      <c r="C95" s="10" t="s">
        <v>62</v>
      </c>
      <c r="D95" s="69" t="s">
        <v>19</v>
      </c>
      <c r="E95" s="166" t="s">
        <v>249</v>
      </c>
      <c r="F95" s="39">
        <f>IF($E$87="Not Maintained",0,(IF('FORM '!E95="yes",10,0)))</f>
        <v>10</v>
      </c>
      <c r="G95" s="39">
        <f t="shared" si="8"/>
        <v>10</v>
      </c>
      <c r="H95" s="116"/>
      <c r="J95" s="70"/>
    </row>
    <row r="96" spans="1:10" s="74" customFormat="1" ht="30.75" customHeight="1">
      <c r="A96" s="75"/>
      <c r="B96" s="193">
        <v>4</v>
      </c>
      <c r="C96" s="215" t="s">
        <v>425</v>
      </c>
      <c r="D96" s="215"/>
      <c r="E96" s="166" t="s">
        <v>279</v>
      </c>
      <c r="F96" s="44">
        <f>VLOOKUP(E96,KPIs!$H$3:$I$6,2,FALSE)</f>
        <v>14</v>
      </c>
      <c r="G96" s="39">
        <f t="shared" si="8"/>
        <v>14</v>
      </c>
      <c r="H96" s="116"/>
      <c r="J96" s="70"/>
    </row>
    <row r="97" spans="1:10" s="74" customFormat="1" ht="14.25" customHeight="1">
      <c r="A97" s="75"/>
      <c r="B97" s="84" t="s">
        <v>86</v>
      </c>
      <c r="C97" s="85"/>
      <c r="D97" s="85"/>
      <c r="E97" s="21"/>
      <c r="F97" s="41">
        <f>SUM(F87:F96)</f>
        <v>100</v>
      </c>
      <c r="G97" s="151">
        <f>SUM(G87:G96)</f>
        <v>100</v>
      </c>
      <c r="H97" s="112"/>
    </row>
    <row r="98" spans="1:10" s="74" customFormat="1" ht="14.25" customHeight="1">
      <c r="A98" s="75"/>
      <c r="B98" s="6"/>
      <c r="C98" s="5"/>
      <c r="D98" s="5"/>
      <c r="E98" s="26"/>
      <c r="F98" s="63"/>
      <c r="G98" s="63"/>
      <c r="H98" s="70"/>
    </row>
    <row r="99" spans="1:10" s="75" customFormat="1" ht="14.25" customHeight="1">
      <c r="B99" s="89" t="s">
        <v>112</v>
      </c>
      <c r="C99" s="90"/>
      <c r="D99" s="90"/>
      <c r="E99" s="20" t="s">
        <v>188</v>
      </c>
      <c r="F99" s="36" t="s">
        <v>222</v>
      </c>
      <c r="G99" s="148" t="s">
        <v>87</v>
      </c>
      <c r="H99" s="86" t="s">
        <v>52</v>
      </c>
    </row>
    <row r="100" spans="1:10" s="74" customFormat="1" ht="53.25" customHeight="1">
      <c r="A100" s="75"/>
      <c r="B100" s="13">
        <v>1</v>
      </c>
      <c r="C100" s="240" t="s">
        <v>92</v>
      </c>
      <c r="D100" s="240"/>
      <c r="E100" s="166" t="s">
        <v>299</v>
      </c>
      <c r="F100" s="51">
        <f>IF(E100="Endorsed and Executed",30, IF(E100="Endorsed but not ye Executed",15, IF(E100="Written but not endorsed",7,0)))</f>
        <v>30</v>
      </c>
      <c r="G100" s="39">
        <f>F100</f>
        <v>30</v>
      </c>
      <c r="H100" s="116"/>
      <c r="I100" s="92"/>
    </row>
    <row r="101" spans="1:10" s="74" customFormat="1" ht="14.25" customHeight="1">
      <c r="A101" s="75"/>
      <c r="B101" s="15">
        <v>2</v>
      </c>
      <c r="C101" s="215" t="s">
        <v>93</v>
      </c>
      <c r="D101" s="215"/>
      <c r="E101" s="166" t="s">
        <v>249</v>
      </c>
      <c r="F101" s="39">
        <f>IF(E101="Yes",20,0)</f>
        <v>20</v>
      </c>
      <c r="G101" s="39">
        <f t="shared" ref="G101:G103" si="9">F101</f>
        <v>20</v>
      </c>
      <c r="H101" s="116"/>
      <c r="I101" s="92"/>
    </row>
    <row r="102" spans="1:10" s="74" customFormat="1" ht="14.25" customHeight="1">
      <c r="A102" s="75"/>
      <c r="B102" s="15">
        <v>3</v>
      </c>
      <c r="C102" s="215" t="s">
        <v>366</v>
      </c>
      <c r="D102" s="215"/>
      <c r="E102" s="166">
        <v>2024</v>
      </c>
      <c r="F102" s="39">
        <f>IF(E102&gt;=(D10-1),20,0)</f>
        <v>20</v>
      </c>
      <c r="G102" s="39">
        <f t="shared" si="9"/>
        <v>20</v>
      </c>
      <c r="H102" s="116"/>
      <c r="I102" s="92"/>
    </row>
    <row r="103" spans="1:10" s="74" customFormat="1" ht="14.25" customHeight="1">
      <c r="A103" s="75"/>
      <c r="B103" s="12">
        <v>4</v>
      </c>
      <c r="C103" s="269" t="s">
        <v>20</v>
      </c>
      <c r="D103" s="269"/>
      <c r="E103" s="166" t="s">
        <v>249</v>
      </c>
      <c r="F103" s="52">
        <f>IF(E103="Yes",30,0)</f>
        <v>30</v>
      </c>
      <c r="G103" s="39">
        <f t="shared" si="9"/>
        <v>30</v>
      </c>
      <c r="H103" s="116"/>
      <c r="I103" s="92"/>
    </row>
    <row r="104" spans="1:10" s="74" customFormat="1" ht="14.25" customHeight="1">
      <c r="A104" s="75"/>
      <c r="B104" s="84" t="s">
        <v>86</v>
      </c>
      <c r="C104" s="85"/>
      <c r="D104" s="85"/>
      <c r="E104" s="21"/>
      <c r="F104" s="41">
        <f>SUM(F100:F103)</f>
        <v>100</v>
      </c>
      <c r="G104" s="41">
        <f>SUM(G100:G103)</f>
        <v>100</v>
      </c>
      <c r="H104" s="112"/>
    </row>
    <row r="105" spans="1:10" s="74" customFormat="1" ht="14.25" customHeight="1">
      <c r="A105" s="75"/>
      <c r="B105" s="6"/>
      <c r="C105" s="5"/>
      <c r="D105" s="5"/>
      <c r="E105" s="26"/>
      <c r="F105" s="63"/>
      <c r="G105" s="63"/>
      <c r="H105" s="70"/>
    </row>
    <row r="106" spans="1:10" s="74" customFormat="1" ht="14.25" customHeight="1">
      <c r="A106" s="75"/>
      <c r="B106" s="71" t="s">
        <v>451</v>
      </c>
      <c r="C106" s="72"/>
      <c r="D106" s="73"/>
      <c r="E106" s="19"/>
      <c r="F106" s="35"/>
      <c r="G106" s="35"/>
      <c r="H106" s="108"/>
      <c r="I106" s="75"/>
      <c r="J106" s="75"/>
    </row>
    <row r="107" spans="1:10" s="74" customFormat="1" ht="14.25" customHeight="1">
      <c r="A107" s="75"/>
      <c r="B107" s="89" t="s">
        <v>157</v>
      </c>
      <c r="C107" s="90"/>
      <c r="D107" s="89"/>
      <c r="E107" s="20" t="s">
        <v>188</v>
      </c>
      <c r="F107" s="36" t="s">
        <v>222</v>
      </c>
      <c r="G107" s="148" t="s">
        <v>87</v>
      </c>
      <c r="H107" s="86" t="s">
        <v>52</v>
      </c>
      <c r="I107" s="75"/>
      <c r="J107" s="75"/>
    </row>
    <row r="108" spans="1:10" s="74" customFormat="1">
      <c r="A108" s="75"/>
      <c r="B108" s="15">
        <v>1</v>
      </c>
      <c r="C108" s="215" t="s">
        <v>367</v>
      </c>
      <c r="D108" s="270"/>
      <c r="E108" s="166" t="s">
        <v>249</v>
      </c>
      <c r="F108" s="64"/>
      <c r="G108" s="64"/>
      <c r="H108" s="118"/>
      <c r="I108" s="75"/>
      <c r="J108" s="75"/>
    </row>
    <row r="109" spans="1:10" s="74" customFormat="1" ht="14.25" customHeight="1">
      <c r="A109" s="75"/>
      <c r="B109" s="15">
        <v>2</v>
      </c>
      <c r="C109" s="16" t="s">
        <v>113</v>
      </c>
      <c r="D109" s="16"/>
      <c r="E109" s="166" t="s">
        <v>416</v>
      </c>
      <c r="F109" s="39">
        <f>IF($E$108="No",0, IF($E$108="YES",   IF(E109="Obtained", 10,   IF(E109="Some obtained", 7, IF(E109="Submitted for approval", 5, 0))), 0))</f>
        <v>10</v>
      </c>
      <c r="G109" s="53">
        <f>F109</f>
        <v>10</v>
      </c>
      <c r="H109" s="116"/>
      <c r="I109" s="27"/>
    </row>
    <row r="110" spans="1:10" s="74" customFormat="1" ht="14.25" customHeight="1">
      <c r="A110" s="75"/>
      <c r="B110" s="134">
        <v>3</v>
      </c>
      <c r="C110" s="135" t="s">
        <v>452</v>
      </c>
      <c r="E110" s="207" t="s">
        <v>249</v>
      </c>
      <c r="F110" s="205">
        <f>IF(E110="Yes",15,0)</f>
        <v>15</v>
      </c>
      <c r="G110" s="206">
        <f t="shared" ref="G110:G118" si="10">F110</f>
        <v>15</v>
      </c>
      <c r="H110" s="119"/>
      <c r="I110" s="27"/>
    </row>
    <row r="111" spans="1:10" s="74" customFormat="1" ht="14.25" customHeight="1">
      <c r="A111" s="75"/>
      <c r="B111" s="13">
        <v>4</v>
      </c>
      <c r="C111" s="14" t="s">
        <v>116</v>
      </c>
      <c r="D111" s="209"/>
      <c r="E111" s="210" t="s">
        <v>249</v>
      </c>
      <c r="F111" s="216">
        <f>IF(E111="Yes",15,0)</f>
        <v>15</v>
      </c>
      <c r="G111" s="216">
        <f>IF(E112="Yes (in remarks write letter NO/ if Email write emailed date)",15,F111)</f>
        <v>15</v>
      </c>
      <c r="H111" s="119"/>
      <c r="I111" s="27"/>
    </row>
    <row r="112" spans="1:10" s="74" customFormat="1">
      <c r="A112" s="75"/>
      <c r="B112" s="12"/>
      <c r="C112" s="211" t="s">
        <v>424</v>
      </c>
      <c r="D112" s="212"/>
      <c r="E112" s="213" t="s">
        <v>226</v>
      </c>
      <c r="F112" s="217"/>
      <c r="G112" s="217"/>
      <c r="H112" s="119"/>
      <c r="I112" s="27"/>
    </row>
    <row r="113" spans="1:9" s="74" customFormat="1" ht="14.25" customHeight="1">
      <c r="A113" s="75"/>
      <c r="B113" s="94">
        <v>5</v>
      </c>
      <c r="C113" s="267" t="s">
        <v>453</v>
      </c>
      <c r="D113" s="267"/>
      <c r="E113" s="208" t="s">
        <v>249</v>
      </c>
      <c r="F113" s="53">
        <f t="shared" ref="F113" si="11">IF(E113="Yes",10,0)</f>
        <v>10</v>
      </c>
      <c r="G113" s="53">
        <f t="shared" si="10"/>
        <v>10</v>
      </c>
      <c r="H113" s="116"/>
      <c r="I113" s="27"/>
    </row>
    <row r="114" spans="1:9" s="74" customFormat="1" ht="14.25" customHeight="1">
      <c r="A114" s="75"/>
      <c r="B114" s="15">
        <v>6</v>
      </c>
      <c r="C114" s="214" t="s">
        <v>117</v>
      </c>
      <c r="D114" s="214"/>
      <c r="E114" s="166" t="s">
        <v>426</v>
      </c>
      <c r="F114" s="39">
        <f>IF($E$108="No", 0, IF(AND($E$108="YES", E114="Have at least 3 members"), 10, 0))</f>
        <v>10</v>
      </c>
      <c r="G114" s="53">
        <f t="shared" si="10"/>
        <v>10</v>
      </c>
      <c r="H114" s="116"/>
      <c r="I114" s="28"/>
    </row>
    <row r="115" spans="1:9" s="74" customFormat="1" ht="14.25" customHeight="1">
      <c r="A115" s="75"/>
      <c r="B115" s="15">
        <v>7</v>
      </c>
      <c r="C115" s="214" t="s">
        <v>114</v>
      </c>
      <c r="D115" s="214"/>
      <c r="E115" s="166" t="s">
        <v>316</v>
      </c>
      <c r="F115" s="39">
        <f>IF($E$108="No", 0, IF($E$108="YES", IF(E115="Minimum quarterly 1", 10, IF(E115="Bi-annualy", 4, IF(E115="Biannually", 3,  IF(E115="Annually", 1, 0) ) ) ), 0))</f>
        <v>10</v>
      </c>
      <c r="G115" s="53">
        <f t="shared" si="10"/>
        <v>10</v>
      </c>
      <c r="H115" s="116"/>
      <c r="I115" s="27"/>
    </row>
    <row r="116" spans="1:9" s="74" customFormat="1" ht="14.25" customHeight="1">
      <c r="A116" s="75"/>
      <c r="B116" s="15">
        <v>8</v>
      </c>
      <c r="C116" s="16" t="s">
        <v>150</v>
      </c>
      <c r="D116" s="16"/>
      <c r="E116" s="166" t="s">
        <v>316</v>
      </c>
      <c r="F116" s="39">
        <f>IF($E$108="No", 0, IF($E$108="YES", IF(E116="Minimum quarterly 1", 10, IF(E116="Bi-annualy", 4, IF(E116="Biannually", 3,  IF(E116="Annually", 1, 0) ) ) ), 0))</f>
        <v>10</v>
      </c>
      <c r="G116" s="53">
        <f t="shared" si="10"/>
        <v>10</v>
      </c>
      <c r="H116" s="116"/>
      <c r="I116" s="27"/>
    </row>
    <row r="117" spans="1:9" s="74" customFormat="1" ht="14.25" customHeight="1">
      <c r="A117" s="75"/>
      <c r="B117" s="15">
        <v>9</v>
      </c>
      <c r="C117" s="16" t="s">
        <v>115</v>
      </c>
      <c r="D117" s="16"/>
      <c r="E117" s="166" t="s">
        <v>427</v>
      </c>
      <c r="F117" s="65">
        <f>IF($E$108="No", 0, IF($E$108="YES", IF(E117="All the reports and findings", 10, IF(E117="Some reports", 5, 0)), 0))</f>
        <v>10</v>
      </c>
      <c r="G117" s="53">
        <f t="shared" si="10"/>
        <v>10</v>
      </c>
      <c r="H117" s="116"/>
      <c r="I117" s="29"/>
    </row>
    <row r="118" spans="1:9" s="74" customFormat="1" ht="14.25" customHeight="1">
      <c r="A118" s="75"/>
      <c r="B118" s="15">
        <v>10</v>
      </c>
      <c r="C118" s="93" t="s">
        <v>149</v>
      </c>
      <c r="D118" s="93"/>
      <c r="E118" s="166" t="s">
        <v>249</v>
      </c>
      <c r="F118" s="39">
        <f>IF($E$108="No", 0, IF(AND($E$108="YES", E118="Yes"), 10, 0))</f>
        <v>10</v>
      </c>
      <c r="G118" s="53">
        <f t="shared" si="10"/>
        <v>10</v>
      </c>
      <c r="H118" s="117"/>
      <c r="I118" s="27"/>
    </row>
    <row r="119" spans="1:9" s="74" customFormat="1" ht="14.25" customHeight="1">
      <c r="A119" s="75"/>
      <c r="B119" s="84" t="s">
        <v>86</v>
      </c>
      <c r="C119" s="85"/>
      <c r="D119" s="85"/>
      <c r="E119" s="21"/>
      <c r="F119" s="41">
        <f>IF(E108="Yes", SUM(F109:F118), IF(E108="No", 100, 0))</f>
        <v>100</v>
      </c>
      <c r="G119" s="41">
        <f>IF(E108="Yes", SUM(G109:G118), IF(E108="No", 100, 0))</f>
        <v>100</v>
      </c>
      <c r="H119" s="112"/>
    </row>
    <row r="120" spans="1:9" s="74" customFormat="1" ht="14.25" customHeight="1">
      <c r="A120" s="75"/>
      <c r="B120" s="6"/>
      <c r="C120" s="5"/>
      <c r="D120" s="5"/>
      <c r="E120" s="204"/>
      <c r="F120" s="63"/>
      <c r="G120" s="63"/>
      <c r="H120" s="70"/>
    </row>
    <row r="121" spans="1:9" s="75" customFormat="1" ht="14.25" customHeight="1">
      <c r="B121" s="71" t="s">
        <v>123</v>
      </c>
      <c r="C121" s="72"/>
      <c r="D121" s="73"/>
      <c r="E121" s="19"/>
      <c r="F121" s="35"/>
      <c r="G121" s="35"/>
      <c r="H121" s="108"/>
    </row>
    <row r="122" spans="1:9" s="75" customFormat="1" ht="14.25" customHeight="1">
      <c r="B122" s="89" t="s">
        <v>118</v>
      </c>
      <c r="C122" s="90"/>
      <c r="D122" s="90"/>
      <c r="E122" s="20" t="s">
        <v>188</v>
      </c>
      <c r="F122" s="36" t="s">
        <v>222</v>
      </c>
      <c r="G122" s="148" t="s">
        <v>87</v>
      </c>
      <c r="H122" s="76" t="s">
        <v>52</v>
      </c>
      <c r="I122" s="92"/>
    </row>
    <row r="123" spans="1:9" s="74" customFormat="1" ht="14.25" customHeight="1">
      <c r="A123" s="75"/>
      <c r="B123" s="94">
        <v>1</v>
      </c>
      <c r="C123" s="267" t="s">
        <v>216</v>
      </c>
      <c r="D123" s="267"/>
      <c r="E123" s="166">
        <v>2024</v>
      </c>
      <c r="F123" s="53">
        <f>IF(E123&gt;=D10-1,8,0)</f>
        <v>8</v>
      </c>
      <c r="G123" s="53">
        <f>F123</f>
        <v>8</v>
      </c>
      <c r="H123" s="120"/>
      <c r="I123" s="92"/>
    </row>
    <row r="124" spans="1:9" s="74" customFormat="1" ht="14.25" customHeight="1">
      <c r="A124" s="75"/>
      <c r="B124" s="94">
        <v>2</v>
      </c>
      <c r="C124" s="214" t="s">
        <v>368</v>
      </c>
      <c r="D124" s="214"/>
      <c r="E124" s="166" t="s">
        <v>249</v>
      </c>
      <c r="F124" s="39">
        <f>IFERROR(IF($E$123&gt;=$D$10-1,(IF(E124="Yes",5,0)),0),0)</f>
        <v>5</v>
      </c>
      <c r="G124" s="53">
        <f t="shared" ref="G124:G150" si="12">F124</f>
        <v>5</v>
      </c>
      <c r="H124" s="113"/>
      <c r="I124" s="92"/>
    </row>
    <row r="125" spans="1:9" s="74" customFormat="1" ht="14.25" customHeight="1">
      <c r="A125" s="75"/>
      <c r="B125" s="94">
        <v>3</v>
      </c>
      <c r="C125" s="214" t="s">
        <v>429</v>
      </c>
      <c r="D125" s="214"/>
      <c r="E125" s="166" t="s">
        <v>430</v>
      </c>
      <c r="F125" s="39">
        <f>IFERROR(IF(E123&gt;=D10-1,(VLOOKUP($E$125,KPIs!$O$3:$P$15,2,FALSE)),0),0)</f>
        <v>5</v>
      </c>
      <c r="G125" s="53">
        <f t="shared" si="12"/>
        <v>5</v>
      </c>
      <c r="H125" s="113"/>
      <c r="I125" s="92"/>
    </row>
    <row r="126" spans="1:9" s="74" customFormat="1" ht="14.25" customHeight="1">
      <c r="A126" s="75"/>
      <c r="B126" s="94">
        <v>4</v>
      </c>
      <c r="C126" s="214" t="s">
        <v>97</v>
      </c>
      <c r="D126" s="214"/>
      <c r="E126" s="166" t="s">
        <v>369</v>
      </c>
      <c r="F126" s="39">
        <f>IFERROR(IF(E123&gt;=D10-1,(VLOOKUP($E$126,KPIs!$O$18:$P$20,2,FALSE)),0),0)</f>
        <v>8</v>
      </c>
      <c r="G126" s="53">
        <f t="shared" si="12"/>
        <v>8</v>
      </c>
      <c r="H126" s="113"/>
      <c r="I126" s="92"/>
    </row>
    <row r="127" spans="1:9" s="74" customFormat="1" ht="14.25" customHeight="1">
      <c r="A127" s="75"/>
      <c r="B127" s="94">
        <v>5</v>
      </c>
      <c r="C127" s="214" t="s">
        <v>96</v>
      </c>
      <c r="D127" s="214"/>
      <c r="E127" s="166" t="s">
        <v>370</v>
      </c>
      <c r="F127" s="39">
        <f>IFERROR(IF(E123&gt;=D10-1,(VLOOKUP(E127,KPIs!$O$23:$P$24,2,FALSE)),0),0)</f>
        <v>6</v>
      </c>
      <c r="G127" s="53">
        <f t="shared" si="12"/>
        <v>6</v>
      </c>
      <c r="H127" s="113"/>
      <c r="I127" s="92"/>
    </row>
    <row r="128" spans="1:9" s="74" customFormat="1" ht="14.25" customHeight="1">
      <c r="A128" s="75"/>
      <c r="B128" s="94">
        <v>6</v>
      </c>
      <c r="C128" s="16" t="s">
        <v>98</v>
      </c>
      <c r="D128" s="16"/>
      <c r="E128" s="166" t="s">
        <v>249</v>
      </c>
      <c r="F128" s="39">
        <f>IFERROR(IF($E$123&gt;=$D$10-1,(IF(E128="Yes",6,0)),0),0)</f>
        <v>6</v>
      </c>
      <c r="G128" s="53">
        <f t="shared" si="12"/>
        <v>6</v>
      </c>
      <c r="H128" s="113"/>
      <c r="I128" s="92"/>
    </row>
    <row r="129" spans="1:10" s="74" customFormat="1" ht="14.25" customHeight="1">
      <c r="A129" s="75"/>
      <c r="B129" s="94">
        <v>7</v>
      </c>
      <c r="C129" s="16" t="s">
        <v>99</v>
      </c>
      <c r="D129" s="16"/>
      <c r="E129" s="166" t="s">
        <v>249</v>
      </c>
      <c r="F129" s="39">
        <f>IFERROR(IF($E$123&gt;=$D$10-1,(IF(E129="Yes",3,0)),0),0)</f>
        <v>3</v>
      </c>
      <c r="G129" s="53">
        <f t="shared" si="12"/>
        <v>3</v>
      </c>
      <c r="H129" s="113"/>
      <c r="I129" s="92"/>
    </row>
    <row r="130" spans="1:10" s="75" customFormat="1" ht="14.25" customHeight="1">
      <c r="B130" s="94">
        <v>8</v>
      </c>
      <c r="C130" s="79" t="s">
        <v>199</v>
      </c>
      <c r="D130" s="79"/>
      <c r="E130" s="11"/>
      <c r="F130" s="54"/>
      <c r="G130" s="155"/>
      <c r="H130" s="95"/>
      <c r="I130" s="92"/>
      <c r="J130" s="74"/>
    </row>
    <row r="131" spans="1:10" s="74" customFormat="1" ht="14.25" customHeight="1">
      <c r="A131" s="75"/>
      <c r="B131" s="15"/>
      <c r="C131" s="67" t="s">
        <v>62</v>
      </c>
      <c r="D131" s="67" t="s">
        <v>76</v>
      </c>
      <c r="E131" s="166" t="s">
        <v>249</v>
      </c>
      <c r="F131" s="39">
        <f>IFERROR(IF($E$123&gt;=$D$10-1,(IF(E131="Yes",4,0)),0),0)</f>
        <v>4</v>
      </c>
      <c r="G131" s="53">
        <f t="shared" si="12"/>
        <v>4</v>
      </c>
      <c r="H131" s="113"/>
      <c r="I131" s="92"/>
    </row>
    <row r="132" spans="1:10" s="74" customFormat="1" ht="14.25" customHeight="1">
      <c r="A132" s="75"/>
      <c r="B132" s="15"/>
      <c r="C132" s="67" t="s">
        <v>62</v>
      </c>
      <c r="D132" s="67" t="s">
        <v>77</v>
      </c>
      <c r="E132" s="166" t="s">
        <v>249</v>
      </c>
      <c r="F132" s="39">
        <f>IFERROR(IF($E$123&gt;=$D$10-1,(IF(E132="Yes",4,0)),0),0)</f>
        <v>4</v>
      </c>
      <c r="G132" s="53">
        <f t="shared" si="12"/>
        <v>4</v>
      </c>
      <c r="H132" s="113"/>
      <c r="I132" s="92"/>
    </row>
    <row r="133" spans="1:10" s="74" customFormat="1" ht="14.25" customHeight="1">
      <c r="A133" s="75"/>
      <c r="B133" s="15"/>
      <c r="C133" s="67" t="s">
        <v>62</v>
      </c>
      <c r="D133" s="67" t="s">
        <v>155</v>
      </c>
      <c r="E133" s="166" t="s">
        <v>249</v>
      </c>
      <c r="F133" s="39">
        <f>IFERROR(IF($E$123&gt;=$D$10-1,(IF(E133="Yes",4,0)),0),0)</f>
        <v>4</v>
      </c>
      <c r="G133" s="53">
        <f t="shared" si="12"/>
        <v>4</v>
      </c>
      <c r="H133" s="113"/>
      <c r="I133" s="92"/>
    </row>
    <row r="134" spans="1:10" s="74" customFormat="1" ht="14.25" customHeight="1">
      <c r="A134" s="75"/>
      <c r="B134" s="15"/>
      <c r="C134" s="67" t="s">
        <v>62</v>
      </c>
      <c r="D134" s="67" t="s">
        <v>94</v>
      </c>
      <c r="E134" s="166" t="s">
        <v>249</v>
      </c>
      <c r="F134" s="39">
        <f>IFERROR(IF($E$123&gt;=$D$10-1,(IF(E134="Yes",4,0)),0),0)</f>
        <v>4</v>
      </c>
      <c r="G134" s="53">
        <f t="shared" si="12"/>
        <v>4</v>
      </c>
      <c r="H134" s="113"/>
      <c r="I134" s="92"/>
    </row>
    <row r="135" spans="1:10" s="74" customFormat="1" ht="14.25" customHeight="1">
      <c r="A135" s="75"/>
      <c r="B135" s="15"/>
      <c r="C135" s="67" t="s">
        <v>62</v>
      </c>
      <c r="D135" s="67" t="s">
        <v>95</v>
      </c>
      <c r="E135" s="166" t="s">
        <v>249</v>
      </c>
      <c r="F135" s="39">
        <f>IFERROR(IF($E$123&gt;=$D$10-1,(IF(E135="Yes",4,0)),0),0)</f>
        <v>4</v>
      </c>
      <c r="G135" s="53">
        <f t="shared" si="12"/>
        <v>4</v>
      </c>
      <c r="H135" s="113"/>
      <c r="I135" s="92"/>
    </row>
    <row r="136" spans="1:10" s="74" customFormat="1" ht="14.25" customHeight="1">
      <c r="A136" s="75"/>
      <c r="B136" s="15"/>
      <c r="C136" s="67" t="s">
        <v>62</v>
      </c>
      <c r="D136" s="78" t="s">
        <v>200</v>
      </c>
      <c r="E136" s="17"/>
      <c r="F136" s="55"/>
      <c r="G136" s="55"/>
      <c r="H136" s="121"/>
      <c r="I136" s="92"/>
    </row>
    <row r="137" spans="1:10" s="74" customFormat="1" ht="14.25" customHeight="1">
      <c r="A137" s="75"/>
      <c r="B137" s="15"/>
      <c r="C137" s="67"/>
      <c r="D137" s="16" t="s">
        <v>79</v>
      </c>
      <c r="E137" s="166" t="s">
        <v>249</v>
      </c>
      <c r="F137" s="39">
        <f>IFERROR(IF($E$123&gt;=$D$10-1,(IF(E137="Yes",4,0)),0),0)</f>
        <v>4</v>
      </c>
      <c r="G137" s="53">
        <f t="shared" si="12"/>
        <v>4</v>
      </c>
      <c r="H137" s="113"/>
      <c r="I137" s="92"/>
    </row>
    <row r="138" spans="1:10" s="74" customFormat="1" ht="14.25" customHeight="1">
      <c r="A138" s="75"/>
      <c r="B138" s="15"/>
      <c r="C138" s="67"/>
      <c r="D138" s="16" t="s">
        <v>201</v>
      </c>
      <c r="E138" s="166" t="s">
        <v>249</v>
      </c>
      <c r="F138" s="39">
        <f>IFERROR(IF($E$123&gt;=$D$10-1,(VLOOKUP(E138,KPIs!$O$27:$P$32,2,FALSE)),0),0)</f>
        <v>3</v>
      </c>
      <c r="G138" s="53">
        <f t="shared" si="12"/>
        <v>3</v>
      </c>
      <c r="H138" s="113"/>
      <c r="I138" s="92"/>
    </row>
    <row r="139" spans="1:10" s="74" customFormat="1" ht="14.25" customHeight="1">
      <c r="A139" s="75"/>
      <c r="B139" s="15"/>
      <c r="C139" s="67"/>
      <c r="D139" s="16" t="s">
        <v>202</v>
      </c>
      <c r="E139" s="166" t="s">
        <v>249</v>
      </c>
      <c r="F139" s="39">
        <f>IFERROR(IF($E$123&gt;=$D$10-1,(VLOOKUP(E139,KPIs!$O$27:$P$32,2,FALSE)),0),0)</f>
        <v>3</v>
      </c>
      <c r="G139" s="53">
        <f t="shared" si="12"/>
        <v>3</v>
      </c>
      <c r="H139" s="113"/>
      <c r="I139" s="92"/>
    </row>
    <row r="140" spans="1:10" s="74" customFormat="1" ht="32.25" customHeight="1">
      <c r="A140" s="75"/>
      <c r="B140" s="8"/>
      <c r="C140" s="68" t="s">
        <v>62</v>
      </c>
      <c r="D140" s="67" t="s">
        <v>206</v>
      </c>
      <c r="E140" s="166" t="s">
        <v>249</v>
      </c>
      <c r="F140" s="39">
        <f>IFERROR(IF($E$123&gt;=$D$10-1,(VLOOKUP(E140,KPIs!$O$27:$P$32,2,FALSE)),0),0)</f>
        <v>3</v>
      </c>
      <c r="G140" s="53">
        <f t="shared" si="12"/>
        <v>3</v>
      </c>
      <c r="H140" s="113"/>
      <c r="I140" s="92"/>
    </row>
    <row r="141" spans="1:10" s="74" customFormat="1" ht="30" customHeight="1">
      <c r="A141" s="75"/>
      <c r="B141" s="8"/>
      <c r="C141" s="68" t="s">
        <v>62</v>
      </c>
      <c r="D141" s="67" t="s">
        <v>207</v>
      </c>
      <c r="E141" s="166" t="s">
        <v>249</v>
      </c>
      <c r="F141" s="39">
        <f>IFERROR(IF($E$123&gt;=$D$10-1,(VLOOKUP(E141,KPIs!$O$27:$P$32,2,FALSE)),0),0)</f>
        <v>3</v>
      </c>
      <c r="G141" s="53">
        <f t="shared" si="12"/>
        <v>3</v>
      </c>
      <c r="H141" s="113"/>
      <c r="I141" s="92"/>
    </row>
    <row r="142" spans="1:10" s="74" customFormat="1" ht="30.75" customHeight="1">
      <c r="A142" s="75"/>
      <c r="B142" s="8"/>
      <c r="C142" s="68" t="s">
        <v>62</v>
      </c>
      <c r="D142" s="67" t="s">
        <v>208</v>
      </c>
      <c r="E142" s="166" t="s">
        <v>249</v>
      </c>
      <c r="F142" s="39">
        <f>IFERROR(IF($E$123&gt;=$D$10-1,(VLOOKUP(E142,KPIs!$O$27:$P$32,2,FALSE)),0),0)</f>
        <v>3</v>
      </c>
      <c r="G142" s="53">
        <f t="shared" si="12"/>
        <v>3</v>
      </c>
      <c r="H142" s="113"/>
      <c r="I142" s="92"/>
    </row>
    <row r="143" spans="1:10" s="74" customFormat="1" ht="14.25" customHeight="1">
      <c r="A143" s="75"/>
      <c r="B143" s="15">
        <v>9</v>
      </c>
      <c r="C143" s="16" t="s">
        <v>78</v>
      </c>
      <c r="D143" s="96"/>
      <c r="E143" s="166" t="s">
        <v>249</v>
      </c>
      <c r="F143" s="39">
        <f>IFERROR(IF($E$123&gt;=$D$10-1,(IF(E143="Yes",4,0)),0),0)</f>
        <v>4</v>
      </c>
      <c r="G143" s="53">
        <f t="shared" si="12"/>
        <v>4</v>
      </c>
      <c r="H143" s="113"/>
      <c r="I143" s="92"/>
    </row>
    <row r="144" spans="1:10" s="74" customFormat="1" ht="14.25" customHeight="1">
      <c r="A144" s="75"/>
      <c r="B144" s="15">
        <v>10</v>
      </c>
      <c r="C144" s="215" t="s">
        <v>380</v>
      </c>
      <c r="D144" s="215"/>
      <c r="E144" s="166" t="s">
        <v>428</v>
      </c>
      <c r="F144" s="39">
        <f>IFERROR(IF($E$123&gt;=$D$10-1,(VLOOKUP($E$144,KPIs!$O$51:$P$53,2,FALSE)),0),0)</f>
        <v>4</v>
      </c>
      <c r="G144" s="53">
        <f t="shared" si="12"/>
        <v>4</v>
      </c>
      <c r="H144" s="113"/>
      <c r="I144" s="92"/>
    </row>
    <row r="145" spans="1:9" s="74" customFormat="1" ht="35.25" customHeight="1">
      <c r="A145" s="75"/>
      <c r="B145" s="128">
        <v>11</v>
      </c>
      <c r="C145" s="129" t="s">
        <v>386</v>
      </c>
      <c r="D145" s="129"/>
      <c r="E145" s="17"/>
      <c r="F145" s="38"/>
      <c r="G145" s="156"/>
      <c r="H145" s="133"/>
      <c r="I145" s="92"/>
    </row>
    <row r="146" spans="1:9" s="74" customFormat="1" ht="14.25" customHeight="1">
      <c r="A146" s="75"/>
      <c r="B146" s="128"/>
      <c r="C146" s="130" t="s">
        <v>203</v>
      </c>
      <c r="D146" s="131"/>
      <c r="E146" s="166" t="s">
        <v>389</v>
      </c>
      <c r="F146" s="39">
        <f>IFERROR(IF($E$123&gt;=$D$10-1,(VLOOKUP($E$146,KPIs!$O$37:$P$40,2,FALSE)),0),0)</f>
        <v>3</v>
      </c>
      <c r="G146" s="53">
        <f t="shared" si="12"/>
        <v>3</v>
      </c>
      <c r="H146" s="150"/>
      <c r="I146" s="92"/>
    </row>
    <row r="147" spans="1:9" s="74" customFormat="1" ht="14.25" customHeight="1">
      <c r="A147" s="75"/>
      <c r="B147" s="128"/>
      <c r="C147" s="130" t="s">
        <v>204</v>
      </c>
      <c r="D147" s="130"/>
      <c r="E147" s="166" t="s">
        <v>390</v>
      </c>
      <c r="F147" s="39">
        <f>IFERROR(IF($E$123&gt;=$D$10-1,(VLOOKUP($E$147,KPIs!$O$44:$P$47,2,FALSE)),0),0)</f>
        <v>3</v>
      </c>
      <c r="G147" s="53">
        <f t="shared" si="12"/>
        <v>3</v>
      </c>
      <c r="H147" s="122"/>
      <c r="I147" s="92"/>
    </row>
    <row r="148" spans="1:9" s="74" customFormat="1" ht="14.25" customHeight="1">
      <c r="A148" s="75"/>
      <c r="B148" s="128">
        <v>12</v>
      </c>
      <c r="C148" s="130" t="s">
        <v>387</v>
      </c>
      <c r="D148" s="130"/>
      <c r="E148" s="17"/>
      <c r="F148" s="38"/>
      <c r="G148" s="156"/>
      <c r="H148" s="133"/>
      <c r="I148" s="92"/>
    </row>
    <row r="149" spans="1:9" s="74" customFormat="1" ht="14.25" customHeight="1">
      <c r="A149" s="75"/>
      <c r="B149" s="128"/>
      <c r="C149" s="130" t="s">
        <v>205</v>
      </c>
      <c r="D149" s="130"/>
      <c r="E149" s="166" t="s">
        <v>249</v>
      </c>
      <c r="F149" s="39">
        <f>IFERROR(IF($E$123&gt;=$D$10-1,(VLOOKUP(E149,KPIs!$O$27:$P$34,2,FALSE)),0),0)</f>
        <v>3</v>
      </c>
      <c r="G149" s="53">
        <f t="shared" si="12"/>
        <v>3</v>
      </c>
      <c r="H149" s="122"/>
      <c r="I149" s="92"/>
    </row>
    <row r="150" spans="1:9" s="74" customFormat="1" ht="14.25" customHeight="1">
      <c r="A150" s="75"/>
      <c r="B150" s="128"/>
      <c r="C150" s="130" t="s">
        <v>388</v>
      </c>
      <c r="D150" s="130"/>
      <c r="E150" s="166" t="s">
        <v>249</v>
      </c>
      <c r="F150" s="39">
        <f>IFERROR(IF($E$123&gt;=$D$10-1,(VLOOKUP(E150,KPIs!$O$27:$P$34,2,FALSE)),0),0)</f>
        <v>3</v>
      </c>
      <c r="G150" s="53">
        <f t="shared" si="12"/>
        <v>3</v>
      </c>
      <c r="H150" s="122"/>
      <c r="I150" s="92"/>
    </row>
    <row r="151" spans="1:9" s="74" customFormat="1" ht="14.25" customHeight="1">
      <c r="A151" s="75"/>
      <c r="B151" s="84" t="s">
        <v>86</v>
      </c>
      <c r="C151" s="85"/>
      <c r="D151" s="85"/>
      <c r="E151" s="21"/>
      <c r="F151" s="41">
        <f>SUM(F123:F150)</f>
        <v>100</v>
      </c>
      <c r="G151" s="41">
        <f>SUM(G123:G150)</f>
        <v>100</v>
      </c>
      <c r="H151" s="112"/>
    </row>
    <row r="152" spans="1:9" s="74" customFormat="1" ht="14.25" customHeight="1">
      <c r="A152" s="75"/>
      <c r="B152" s="6"/>
      <c r="C152" s="5"/>
      <c r="D152" s="5"/>
      <c r="E152" s="26"/>
      <c r="F152" s="63"/>
      <c r="G152" s="63"/>
      <c r="H152" s="70"/>
    </row>
    <row r="153" spans="1:9" s="75" customFormat="1" ht="14.25" customHeight="1">
      <c r="B153" s="71" t="s">
        <v>124</v>
      </c>
      <c r="C153" s="72"/>
      <c r="D153" s="73"/>
      <c r="E153" s="19"/>
      <c r="F153" s="35"/>
      <c r="G153" s="35"/>
      <c r="H153" s="108"/>
    </row>
    <row r="154" spans="1:9" s="75" customFormat="1" ht="14.25" customHeight="1">
      <c r="B154" s="89" t="s">
        <v>417</v>
      </c>
      <c r="C154" s="90"/>
      <c r="D154" s="90"/>
      <c r="E154" s="20" t="s">
        <v>188</v>
      </c>
      <c r="F154" s="36" t="s">
        <v>222</v>
      </c>
      <c r="G154" s="148" t="s">
        <v>87</v>
      </c>
      <c r="H154" s="76" t="s">
        <v>52</v>
      </c>
    </row>
    <row r="155" spans="1:9" s="74" customFormat="1" ht="14.25" customHeight="1">
      <c r="A155" s="75"/>
      <c r="B155" s="13">
        <v>1</v>
      </c>
      <c r="C155" s="241" t="s">
        <v>211</v>
      </c>
      <c r="D155" s="241"/>
      <c r="E155" s="166" t="s">
        <v>308</v>
      </c>
      <c r="F155" s="45">
        <f>IF(E155="Established and Functioning",10, IF(E155="Established but not Functioning",5, IF(E155="Not yet established", 0, 0  )))</f>
        <v>10</v>
      </c>
      <c r="G155" s="157">
        <f>F155</f>
        <v>10</v>
      </c>
      <c r="H155" s="123"/>
    </row>
    <row r="156" spans="1:9" s="74" customFormat="1" ht="14.25" customHeight="1">
      <c r="A156" s="75"/>
      <c r="B156" s="15">
        <v>2</v>
      </c>
      <c r="C156" s="214" t="s">
        <v>210</v>
      </c>
      <c r="D156" s="214"/>
      <c r="E156" s="166">
        <v>3</v>
      </c>
      <c r="F156" s="39">
        <f>IF(E155="Not yet established",0,(IF($E$18=5,IF(E156&gt;=2,10,0),IF(E156&gt;=3,10,0))))</f>
        <v>10</v>
      </c>
      <c r="G156" s="44">
        <f t="shared" ref="G156:G160" si="13">F156</f>
        <v>10</v>
      </c>
      <c r="H156" s="113"/>
    </row>
    <row r="157" spans="1:9" s="74" customFormat="1" ht="14.25" customHeight="1">
      <c r="A157" s="75"/>
      <c r="B157" s="15">
        <v>3</v>
      </c>
      <c r="C157" s="214" t="s">
        <v>213</v>
      </c>
      <c r="D157" s="214"/>
      <c r="E157" s="166" t="s">
        <v>316</v>
      </c>
      <c r="F157" s="39">
        <f>IF(E155="Not yet established",0,(IF(E157="Minimum quarterly 1",10,IF(E157="Bi-annualy",4,IF(E157="Biannually",3,IF(E157="Annually",1,0))))))</f>
        <v>10</v>
      </c>
      <c r="G157" s="44">
        <f t="shared" si="13"/>
        <v>10</v>
      </c>
      <c r="H157" s="113"/>
    </row>
    <row r="158" spans="1:9" s="74" customFormat="1" ht="14.25" customHeight="1">
      <c r="A158" s="75"/>
      <c r="B158" s="15">
        <v>4</v>
      </c>
      <c r="C158" s="214" t="s">
        <v>212</v>
      </c>
      <c r="D158" s="214"/>
      <c r="E158" s="166" t="s">
        <v>316</v>
      </c>
      <c r="F158" s="39">
        <f>IF(E155="Not yet established",0,(IF(E158="Minimum quarterly 1",10,IF(E158="Bi-annualy",4,IF(E158="Biannually",3,IF(E158="Annually",1,0))))))</f>
        <v>10</v>
      </c>
      <c r="G158" s="44">
        <f t="shared" si="13"/>
        <v>10</v>
      </c>
      <c r="H158" s="113"/>
    </row>
    <row r="159" spans="1:9" s="74" customFormat="1">
      <c r="A159" s="75"/>
      <c r="B159" s="15">
        <v>5</v>
      </c>
      <c r="C159" s="214" t="s">
        <v>89</v>
      </c>
      <c r="D159" s="214"/>
      <c r="E159" s="166" t="s">
        <v>418</v>
      </c>
      <c r="F159" s="47">
        <f>IF(E155="Not yet established",0,(IFERROR(VLOOKUP($E$159,KPIs!$D$52:$E$53,2,FALSE),0)))</f>
        <v>10</v>
      </c>
      <c r="G159" s="44">
        <f t="shared" si="13"/>
        <v>10</v>
      </c>
      <c r="H159" s="113"/>
    </row>
    <row r="160" spans="1:9" s="74" customFormat="1" ht="14.25" customHeight="1">
      <c r="A160" s="75"/>
      <c r="B160" s="15">
        <v>6</v>
      </c>
      <c r="C160" s="214" t="s">
        <v>88</v>
      </c>
      <c r="D160" s="214"/>
      <c r="E160" s="166" t="s">
        <v>226</v>
      </c>
      <c r="F160" s="39">
        <f>IF(E155="Not yet established",0,(IF(E160="No",10,IF(E160="Yes",0,0))))</f>
        <v>10</v>
      </c>
      <c r="G160" s="44">
        <f t="shared" si="13"/>
        <v>10</v>
      </c>
      <c r="H160" s="113"/>
    </row>
    <row r="161" spans="1:13" s="74" customFormat="1" ht="14.25" customHeight="1">
      <c r="A161" s="75"/>
      <c r="B161" s="15">
        <v>7</v>
      </c>
      <c r="C161" s="214" t="s">
        <v>81</v>
      </c>
      <c r="D161" s="214"/>
      <c r="E161" s="166" t="s">
        <v>309</v>
      </c>
      <c r="F161" s="47">
        <f>IF(E155="Not yet established",0,(IF(E161="Account/Finance Degree or above",8,IF(E161="Member of Professional Accountig body",10,0))))</f>
        <v>10</v>
      </c>
      <c r="G161" s="44">
        <f t="shared" ref="G161:G173" si="14">F161</f>
        <v>10</v>
      </c>
      <c r="H161" s="113"/>
    </row>
    <row r="162" spans="1:13" s="74" customFormat="1" ht="14.25" customHeight="1">
      <c r="A162" s="75"/>
      <c r="B162" s="15">
        <v>8</v>
      </c>
      <c r="C162" s="214" t="s">
        <v>82</v>
      </c>
      <c r="D162" s="214"/>
      <c r="E162" s="166" t="s">
        <v>310</v>
      </c>
      <c r="F162" s="48">
        <f>IF(E155="Not yet established",0,(IF(E162="Less than 5 years",2,IF(E162="More than 5 years",6,0))))</f>
        <v>6</v>
      </c>
      <c r="G162" s="44">
        <f>F162</f>
        <v>6</v>
      </c>
      <c r="H162" s="113"/>
      <c r="M162" s="97"/>
    </row>
    <row r="163" spans="1:13" s="74" customFormat="1" ht="14.25" customHeight="1">
      <c r="A163" s="75"/>
      <c r="B163" s="15">
        <v>9</v>
      </c>
      <c r="C163" s="214" t="s">
        <v>80</v>
      </c>
      <c r="D163" s="214"/>
      <c r="E163" s="166" t="s">
        <v>308</v>
      </c>
      <c r="F163" s="39">
        <f>IF(E155="Not yet established",0,(IF(E163&gt;=1,4,0)))</f>
        <v>4</v>
      </c>
      <c r="G163" s="44">
        <f t="shared" si="14"/>
        <v>4</v>
      </c>
      <c r="H163" s="113"/>
      <c r="M163" s="97"/>
    </row>
    <row r="164" spans="1:13" s="74" customFormat="1" ht="14.25" customHeight="1">
      <c r="A164" s="75"/>
      <c r="B164" s="15">
        <v>10</v>
      </c>
      <c r="C164" s="214" t="s">
        <v>53</v>
      </c>
      <c r="D164" s="214"/>
      <c r="E164" s="166" t="s">
        <v>443</v>
      </c>
      <c r="F164" s="39">
        <f>IF(E155="Not yet established",0,(IF(E164="Formulated and endorsed",4,IF(E164="Formulated but not endorsed",2,0))))</f>
        <v>4</v>
      </c>
      <c r="G164" s="44">
        <f t="shared" si="14"/>
        <v>4</v>
      </c>
      <c r="H164" s="113"/>
    </row>
    <row r="165" spans="1:13" s="74" customFormat="1" ht="14.25" customHeight="1">
      <c r="A165" s="75"/>
      <c r="B165" s="15">
        <v>11</v>
      </c>
      <c r="C165" s="98" t="s">
        <v>84</v>
      </c>
      <c r="D165" s="11"/>
      <c r="E165" s="11"/>
      <c r="F165" s="38"/>
      <c r="G165" s="38"/>
      <c r="H165" s="95"/>
    </row>
    <row r="166" spans="1:13" s="74" customFormat="1" ht="14.25" customHeight="1">
      <c r="A166" s="75"/>
      <c r="B166" s="87"/>
      <c r="C166" s="9" t="s">
        <v>31</v>
      </c>
      <c r="D166" s="99" t="s">
        <v>39</v>
      </c>
      <c r="E166" s="166" t="s">
        <v>249</v>
      </c>
      <c r="F166" s="39">
        <f>IF(E155="Not yet established",0,(IF(E166="Yes",IF(OR($E$164="Formulated and endorsed",$E$164="Formulated but not endorsed"),2,0),0)))</f>
        <v>2</v>
      </c>
      <c r="G166" s="44">
        <f t="shared" si="14"/>
        <v>2</v>
      </c>
      <c r="H166" s="124"/>
    </row>
    <row r="167" spans="1:13" s="74" customFormat="1" ht="14.25" customHeight="1">
      <c r="A167" s="75"/>
      <c r="B167" s="87"/>
      <c r="C167" s="9" t="s">
        <v>32</v>
      </c>
      <c r="D167" s="99" t="s">
        <v>40</v>
      </c>
      <c r="E167" s="166" t="s">
        <v>249</v>
      </c>
      <c r="F167" s="39">
        <f>IF(E155="Not yet established",0,(IF(E167="Yes",IF(OR($E$164="Formulated and endorsed",$E$164="Formulated but not endorsed"),2,0),0)))</f>
        <v>2</v>
      </c>
      <c r="G167" s="44">
        <f t="shared" si="14"/>
        <v>2</v>
      </c>
      <c r="H167" s="110"/>
    </row>
    <row r="168" spans="1:13" s="74" customFormat="1" ht="14.25" customHeight="1">
      <c r="A168" s="75"/>
      <c r="B168" s="87"/>
      <c r="C168" s="9" t="s">
        <v>33</v>
      </c>
      <c r="D168" s="32" t="s">
        <v>41</v>
      </c>
      <c r="E168" s="166" t="s">
        <v>249</v>
      </c>
      <c r="F168" s="39">
        <f>IF(E155="Not yet established",0,(IF(E168="Yes",IF(OR($E$164="Formulated and endorsed",$E$164="Formulated but not endorsed"),2,0),0)))</f>
        <v>2</v>
      </c>
      <c r="G168" s="44">
        <f t="shared" si="14"/>
        <v>2</v>
      </c>
      <c r="H168" s="110"/>
    </row>
    <row r="169" spans="1:13" s="74" customFormat="1" ht="14.25" customHeight="1">
      <c r="A169" s="75"/>
      <c r="B169" s="87"/>
      <c r="C169" s="9" t="s">
        <v>34</v>
      </c>
      <c r="D169" s="99" t="s">
        <v>42</v>
      </c>
      <c r="E169" s="166" t="s">
        <v>249</v>
      </c>
      <c r="F169" s="39">
        <f>IF(E155="Not yet established",0,(IF(E169="Yes",IF(OR($E$164="Formulated and endorsed",$E$164="Formulated but not endorsed"),2,0),0)))</f>
        <v>2</v>
      </c>
      <c r="G169" s="44">
        <f t="shared" si="14"/>
        <v>2</v>
      </c>
      <c r="H169" s="110"/>
    </row>
    <row r="170" spans="1:13" s="74" customFormat="1" ht="14.25" customHeight="1">
      <c r="A170" s="75"/>
      <c r="B170" s="87"/>
      <c r="C170" s="9" t="s">
        <v>35</v>
      </c>
      <c r="D170" s="99" t="s">
        <v>43</v>
      </c>
      <c r="E170" s="166" t="s">
        <v>249</v>
      </c>
      <c r="F170" s="39">
        <f>IF(E155="Not yet established",0,(IF(E170="Yes",IF(OR($E$164="Formulated and endorsed",$E$164="Formulated but not endorsed"),2,0),0)))</f>
        <v>2</v>
      </c>
      <c r="G170" s="44">
        <f t="shared" si="14"/>
        <v>2</v>
      </c>
      <c r="H170" s="110"/>
    </row>
    <row r="171" spans="1:13" s="74" customFormat="1" ht="14.25" customHeight="1">
      <c r="A171" s="75"/>
      <c r="B171" s="87"/>
      <c r="C171" s="9" t="s">
        <v>36</v>
      </c>
      <c r="D171" s="32" t="s">
        <v>44</v>
      </c>
      <c r="E171" s="166" t="s">
        <v>249</v>
      </c>
      <c r="F171" s="39">
        <f>IF(E155="Not yet established",0,(IF(E171="Yes",IF(OR($E$164="Formulated and endorsed",$E$164="Formulated but not endorsed"),2,0),0)))</f>
        <v>2</v>
      </c>
      <c r="G171" s="44">
        <f t="shared" si="14"/>
        <v>2</v>
      </c>
      <c r="H171" s="110"/>
    </row>
    <row r="172" spans="1:13" s="74" customFormat="1" ht="14.25" customHeight="1">
      <c r="A172" s="75"/>
      <c r="B172" s="87"/>
      <c r="C172" s="9" t="s">
        <v>37</v>
      </c>
      <c r="D172" s="100" t="s">
        <v>45</v>
      </c>
      <c r="E172" s="166" t="s">
        <v>249</v>
      </c>
      <c r="F172" s="39">
        <f>IF(E155="Not yet established",0,(IF(E172="Yes",IF(OR($E$164="Formulated and endorsed",$E$164="Formulated but not endorsed"),2,0),0)))</f>
        <v>2</v>
      </c>
      <c r="G172" s="44">
        <f t="shared" si="14"/>
        <v>2</v>
      </c>
      <c r="H172" s="110"/>
    </row>
    <row r="173" spans="1:13" s="74" customFormat="1" ht="14.25" customHeight="1">
      <c r="A173" s="75"/>
      <c r="B173" s="82"/>
      <c r="C173" s="10" t="s">
        <v>38</v>
      </c>
      <c r="D173" s="69" t="s">
        <v>46</v>
      </c>
      <c r="E173" s="166" t="s">
        <v>249</v>
      </c>
      <c r="F173" s="39">
        <f>IF(E155="Not yet established",0,(IF(E173="Yes",IF(OR($E$164="Formulated and endorsed",$E$164="Formulated but not endorsed"),2,0),0)))</f>
        <v>2</v>
      </c>
      <c r="G173" s="44">
        <f t="shared" si="14"/>
        <v>2</v>
      </c>
      <c r="H173" s="125"/>
    </row>
    <row r="174" spans="1:13" s="74" customFormat="1" ht="14.25" customHeight="1">
      <c r="A174" s="75"/>
      <c r="B174" s="84" t="s">
        <v>86</v>
      </c>
      <c r="C174" s="85"/>
      <c r="D174" s="85"/>
      <c r="E174" s="21"/>
      <c r="F174" s="41">
        <f>SUM(F155:F173)</f>
        <v>100</v>
      </c>
      <c r="G174" s="41">
        <f>SUM(G155:G173)</f>
        <v>100</v>
      </c>
      <c r="H174" s="112"/>
    </row>
    <row r="175" spans="1:13" s="74" customFormat="1" ht="14.25" customHeight="1">
      <c r="A175" s="75"/>
      <c r="B175" s="6"/>
      <c r="C175" s="5"/>
      <c r="D175" s="5"/>
      <c r="E175" s="26"/>
      <c r="F175" s="63"/>
      <c r="G175" s="63"/>
      <c r="H175" s="70"/>
    </row>
    <row r="176" spans="1:13" s="74" customFormat="1" ht="14.25" customHeight="1">
      <c r="A176" s="75"/>
      <c r="B176" s="89" t="s">
        <v>143</v>
      </c>
      <c r="C176" s="90"/>
      <c r="D176" s="90"/>
      <c r="E176" s="20" t="s">
        <v>188</v>
      </c>
      <c r="F176" s="36" t="s">
        <v>222</v>
      </c>
      <c r="G176" s="148" t="s">
        <v>87</v>
      </c>
      <c r="H176" s="76" t="s">
        <v>52</v>
      </c>
      <c r="J176" s="75"/>
    </row>
    <row r="177" spans="1:8" s="74" customFormat="1" ht="14.25" customHeight="1">
      <c r="A177" s="75"/>
      <c r="B177" s="15">
        <v>1</v>
      </c>
      <c r="C177" s="214" t="s">
        <v>336</v>
      </c>
      <c r="D177" s="214"/>
      <c r="E177" s="192" t="s">
        <v>308</v>
      </c>
      <c r="F177" s="39">
        <f>IFERROR(VLOOKUP(E177,KPIs!$K$23:$L$25,2,FALSE),0)</f>
        <v>10</v>
      </c>
      <c r="G177" s="50">
        <f>F177</f>
        <v>10</v>
      </c>
      <c r="H177" s="123"/>
    </row>
    <row r="178" spans="1:8" s="74" customFormat="1" ht="14.25" customHeight="1">
      <c r="A178" s="75"/>
      <c r="B178" s="15">
        <v>2</v>
      </c>
      <c r="C178" s="214" t="s">
        <v>450</v>
      </c>
      <c r="D178" s="214"/>
      <c r="E178" s="192" t="s">
        <v>299</v>
      </c>
      <c r="F178" s="39">
        <f>IF(E177="Not yet established",0,(IFERROR(VLOOKUP('FORM '!E178,KPIs!$K$28:$L$31,2,FALSE),0)))</f>
        <v>10</v>
      </c>
      <c r="G178" s="50">
        <f>F178</f>
        <v>10</v>
      </c>
      <c r="H178" s="113"/>
    </row>
    <row r="179" spans="1:8" s="74" customFormat="1" ht="28.5" customHeight="1">
      <c r="A179" s="75"/>
      <c r="B179" s="15">
        <v>3</v>
      </c>
      <c r="C179" s="16" t="s">
        <v>449</v>
      </c>
      <c r="D179" s="16"/>
      <c r="E179" s="197" t="s">
        <v>330</v>
      </c>
      <c r="F179" s="39">
        <f>IF(E177="Not yet established",0,IFERROR(VLOOKUP(E179,KPIs!$K$34:$L$39,2,FALSE),0))</f>
        <v>15</v>
      </c>
      <c r="G179" s="50">
        <f>F179</f>
        <v>15</v>
      </c>
      <c r="H179" s="113"/>
    </row>
    <row r="180" spans="1:8" s="74" customFormat="1" ht="14.25" customHeight="1">
      <c r="A180" s="75"/>
      <c r="B180" s="15">
        <v>4</v>
      </c>
      <c r="C180" s="214" t="s">
        <v>340</v>
      </c>
      <c r="D180" s="214"/>
      <c r="E180" s="192" t="s">
        <v>341</v>
      </c>
      <c r="F180" s="39">
        <f>IF(E177="Not yet established",0,VLOOKUP(E180,KPIs!$K$42:$L$46,2,FALSE))</f>
        <v>15</v>
      </c>
      <c r="G180" s="50">
        <f t="shared" ref="G180:G192" si="15">F180</f>
        <v>15</v>
      </c>
      <c r="H180" s="113"/>
    </row>
    <row r="181" spans="1:8" s="74" customFormat="1" ht="14.25" customHeight="1">
      <c r="A181" s="75"/>
      <c r="B181" s="15">
        <v>5</v>
      </c>
      <c r="C181" s="214" t="s">
        <v>344</v>
      </c>
      <c r="D181" s="214"/>
      <c r="E181" s="192" t="s">
        <v>346</v>
      </c>
      <c r="F181" s="39">
        <f>IF(E177="Not yet established",0,IFERROR(VLOOKUP(E181,KPIs!$K$49:$L$51,2,FALSE),0))</f>
        <v>5</v>
      </c>
      <c r="G181" s="50">
        <f t="shared" si="15"/>
        <v>5</v>
      </c>
      <c r="H181" s="113"/>
    </row>
    <row r="182" spans="1:8" s="74" customFormat="1" ht="14.25" customHeight="1">
      <c r="A182" s="75"/>
      <c r="B182" s="15">
        <v>6</v>
      </c>
      <c r="C182" s="9" t="s">
        <v>217</v>
      </c>
      <c r="D182" s="9"/>
      <c r="E182" s="192" t="s">
        <v>317</v>
      </c>
      <c r="F182" s="39">
        <f>IF(E177="Not yet established",0,IFERROR(VLOOKUP(E182,KPIs!$K$11:$L$13,2,FALSE),0))</f>
        <v>10</v>
      </c>
      <c r="G182" s="50">
        <f t="shared" si="15"/>
        <v>10</v>
      </c>
      <c r="H182" s="113"/>
    </row>
    <row r="183" spans="1:8" s="74" customFormat="1" ht="14.25" customHeight="1">
      <c r="A183" s="75"/>
      <c r="B183" s="187">
        <v>7</v>
      </c>
      <c r="C183" s="9" t="s">
        <v>130</v>
      </c>
      <c r="D183" s="188"/>
      <c r="E183" s="38"/>
      <c r="F183" s="38"/>
      <c r="G183" s="38"/>
      <c r="H183" s="113"/>
    </row>
    <row r="184" spans="1:8" s="74" customFormat="1" ht="21.75" customHeight="1">
      <c r="A184" s="75"/>
      <c r="B184" s="187"/>
      <c r="C184" s="201" t="s">
        <v>62</v>
      </c>
      <c r="D184" s="200" t="s">
        <v>394</v>
      </c>
      <c r="E184" s="197" t="s">
        <v>322</v>
      </c>
      <c r="F184" s="39">
        <f>IF(E177="Not yet established",0,IFERROR(VLOOKUP(E184,KPIs!$K$2:$L$8,2,FALSE),0))</f>
        <v>10</v>
      </c>
      <c r="G184" s="50">
        <f t="shared" si="15"/>
        <v>10</v>
      </c>
    </row>
    <row r="185" spans="1:8" s="74" customFormat="1" ht="14.25" customHeight="1">
      <c r="A185" s="75"/>
      <c r="B185" s="189"/>
      <c r="C185" s="190"/>
      <c r="D185" s="190"/>
      <c r="E185" s="191"/>
      <c r="F185" s="38"/>
      <c r="G185" s="38"/>
      <c r="H185" s="113"/>
    </row>
    <row r="186" spans="1:8" s="74" customFormat="1" ht="14.25" customHeight="1">
      <c r="A186" s="75"/>
      <c r="B186" s="15">
        <v>8</v>
      </c>
      <c r="C186" s="9" t="s">
        <v>353</v>
      </c>
      <c r="D186" s="9"/>
      <c r="E186" s="191"/>
      <c r="F186" s="38"/>
      <c r="G186" s="38"/>
      <c r="H186" s="113"/>
    </row>
    <row r="187" spans="1:8" s="74" customFormat="1">
      <c r="A187" s="75"/>
      <c r="B187" s="15"/>
      <c r="C187" s="9" t="s">
        <v>315</v>
      </c>
      <c r="D187" s="9"/>
      <c r="E187" s="197" t="s">
        <v>327</v>
      </c>
      <c r="F187" s="39">
        <f>IF(E177="Not yet established",0,IFERROR(VLOOKUP(E187,KPIs!$K$2:$L$8,2,FALSE),0))</f>
        <v>10</v>
      </c>
      <c r="G187" s="50">
        <f t="shared" si="15"/>
        <v>10</v>
      </c>
      <c r="H187" s="113"/>
    </row>
    <row r="188" spans="1:8" s="74" customFormat="1" ht="14.25" customHeight="1">
      <c r="A188" s="75"/>
      <c r="B188" s="15"/>
      <c r="C188" s="201" t="s">
        <v>62</v>
      </c>
      <c r="D188" s="199" t="s">
        <v>312</v>
      </c>
      <c r="E188" s="198">
        <v>11</v>
      </c>
      <c r="F188" s="38"/>
      <c r="G188" s="38"/>
      <c r="H188" s="113"/>
    </row>
    <row r="189" spans="1:8" s="74" customFormat="1" ht="14.25" customHeight="1">
      <c r="A189" s="75"/>
      <c r="B189" s="15"/>
      <c r="C189" s="201" t="s">
        <v>62</v>
      </c>
      <c r="D189" s="199" t="s">
        <v>313</v>
      </c>
      <c r="E189" s="198">
        <v>0</v>
      </c>
      <c r="F189" s="38"/>
      <c r="G189" s="38"/>
      <c r="H189" s="113"/>
    </row>
    <row r="190" spans="1:8" s="74" customFormat="1" ht="14.25" customHeight="1">
      <c r="A190" s="75"/>
      <c r="B190" s="15"/>
      <c r="C190" s="201" t="s">
        <v>62</v>
      </c>
      <c r="D190" s="199" t="s">
        <v>314</v>
      </c>
      <c r="E190" s="198" t="s">
        <v>226</v>
      </c>
      <c r="F190" s="38"/>
      <c r="G190" s="38"/>
      <c r="H190" s="113"/>
    </row>
    <row r="191" spans="1:8" s="74" customFormat="1" ht="14.25" customHeight="1">
      <c r="A191" s="75"/>
      <c r="B191" s="15">
        <v>9</v>
      </c>
      <c r="C191" s="9" t="s">
        <v>151</v>
      </c>
      <c r="D191" s="9"/>
      <c r="E191" s="192" t="s">
        <v>272</v>
      </c>
      <c r="F191" s="39">
        <f>IF(E177="Not yet established",0,IFERROR(VLOOKUP(E191,KPIs!$K$55:$L$59,2,FALSE),0))</f>
        <v>10</v>
      </c>
      <c r="G191" s="50">
        <f t="shared" si="15"/>
        <v>10</v>
      </c>
      <c r="H191" s="116"/>
    </row>
    <row r="192" spans="1:8" s="74" customFormat="1" ht="14.25" customHeight="1">
      <c r="A192" s="75"/>
      <c r="B192" s="194">
        <v>10</v>
      </c>
      <c r="C192" s="70" t="s">
        <v>364</v>
      </c>
      <c r="D192" s="70"/>
      <c r="E192" s="195" t="s">
        <v>249</v>
      </c>
      <c r="F192" s="39">
        <f>IF(E177="Not yet established",0,IF(E192="Yes",5,0))</f>
        <v>5</v>
      </c>
      <c r="G192" s="50">
        <f t="shared" si="15"/>
        <v>5</v>
      </c>
      <c r="H192" s="196"/>
    </row>
    <row r="193" spans="1:8" s="74" customFormat="1" ht="14.25" customHeight="1">
      <c r="A193" s="75"/>
      <c r="B193" s="84" t="s">
        <v>86</v>
      </c>
      <c r="C193" s="85"/>
      <c r="D193" s="85"/>
      <c r="E193" s="21"/>
      <c r="F193" s="41">
        <f>SUM(F177:F192)</f>
        <v>100</v>
      </c>
      <c r="G193" s="41">
        <f>SUM(G177:G192)</f>
        <v>100</v>
      </c>
      <c r="H193" s="112"/>
    </row>
    <row r="194" spans="1:8" s="74" customFormat="1" ht="14.25" customHeight="1">
      <c r="A194" s="75"/>
      <c r="B194" s="6"/>
      <c r="C194" s="5"/>
      <c r="D194" s="5"/>
      <c r="E194" s="26"/>
      <c r="F194" s="63"/>
      <c r="G194" s="63"/>
      <c r="H194" s="70"/>
    </row>
    <row r="195" spans="1:8" s="74" customFormat="1" ht="14.25" customHeight="1">
      <c r="A195" s="75"/>
      <c r="B195" s="89" t="s">
        <v>133</v>
      </c>
      <c r="C195" s="90"/>
      <c r="D195" s="90"/>
      <c r="E195" s="20" t="s">
        <v>188</v>
      </c>
      <c r="F195" s="36" t="s">
        <v>222</v>
      </c>
      <c r="G195" s="148" t="s">
        <v>87</v>
      </c>
      <c r="H195" s="76" t="s">
        <v>52</v>
      </c>
    </row>
    <row r="196" spans="1:8" s="74" customFormat="1" ht="14.25" customHeight="1">
      <c r="A196" s="75"/>
      <c r="B196" s="30">
        <v>1</v>
      </c>
      <c r="C196" s="88" t="s">
        <v>178</v>
      </c>
      <c r="D196" s="88"/>
      <c r="E196" s="192" t="s">
        <v>317</v>
      </c>
      <c r="F196" s="39">
        <f>IFERROR(VLOOKUP(E196,KPIs!$K$11:$L$13,2,FALSE),0)</f>
        <v>10</v>
      </c>
      <c r="G196" s="42">
        <f>F196</f>
        <v>10</v>
      </c>
      <c r="H196" s="101"/>
    </row>
    <row r="197" spans="1:8" s="74" customFormat="1" ht="14.25" customHeight="1">
      <c r="A197" s="75"/>
      <c r="B197" s="15">
        <v>2</v>
      </c>
      <c r="C197" s="214" t="s">
        <v>131</v>
      </c>
      <c r="D197" s="214"/>
      <c r="E197" s="23"/>
      <c r="F197" s="38"/>
      <c r="G197" s="43"/>
      <c r="H197" s="109"/>
    </row>
    <row r="198" spans="1:8" s="74" customFormat="1">
      <c r="A198" s="75"/>
      <c r="B198" s="15"/>
      <c r="C198" s="201" t="s">
        <v>62</v>
      </c>
      <c r="D198" s="200" t="s">
        <v>321</v>
      </c>
      <c r="E198" s="197" t="s">
        <v>320</v>
      </c>
      <c r="F198" s="39">
        <f>IFERROR(VLOOKUP(E198,KPIs!$K$2:$L$8,2,FALSE),0)</f>
        <v>10</v>
      </c>
      <c r="G198" s="50">
        <f>F198</f>
        <v>10</v>
      </c>
      <c r="H198" s="113"/>
    </row>
    <row r="199" spans="1:8" s="74" customFormat="1" ht="14.25" customHeight="1">
      <c r="A199" s="75"/>
      <c r="B199" s="15">
        <v>2</v>
      </c>
      <c r="C199" s="214" t="s">
        <v>352</v>
      </c>
      <c r="D199" s="214"/>
      <c r="E199" s="33"/>
      <c r="F199" s="38"/>
      <c r="G199" s="149"/>
      <c r="H199" s="126"/>
    </row>
    <row r="200" spans="1:8" s="74" customFormat="1" ht="14.25" customHeight="1">
      <c r="A200" s="75"/>
      <c r="B200" s="94"/>
      <c r="C200" s="9" t="s">
        <v>315</v>
      </c>
      <c r="D200" s="9"/>
      <c r="E200" s="197" t="s">
        <v>327</v>
      </c>
      <c r="F200" s="39">
        <f>IFERROR(VLOOKUP(E200,KPIs!$K$2:$L$8,2,FALSE),0)</f>
        <v>10</v>
      </c>
      <c r="G200" s="154">
        <f>F200:F200</f>
        <v>10</v>
      </c>
      <c r="H200" s="120"/>
    </row>
    <row r="201" spans="1:8" s="74" customFormat="1" ht="14.25" customHeight="1">
      <c r="A201" s="75"/>
      <c r="B201" s="94"/>
      <c r="C201" s="201" t="s">
        <v>62</v>
      </c>
      <c r="D201" s="199" t="s">
        <v>355</v>
      </c>
      <c r="E201" s="198">
        <v>0</v>
      </c>
      <c r="F201" s="38"/>
      <c r="G201" s="38"/>
      <c r="H201" s="126"/>
    </row>
    <row r="202" spans="1:8" s="74" customFormat="1" ht="14.25" customHeight="1">
      <c r="A202" s="75"/>
      <c r="B202" s="94"/>
      <c r="C202" s="201" t="s">
        <v>62</v>
      </c>
      <c r="D202" s="199" t="s">
        <v>313</v>
      </c>
      <c r="E202" s="198">
        <v>0</v>
      </c>
      <c r="F202" s="38"/>
      <c r="G202" s="38"/>
      <c r="H202" s="126"/>
    </row>
    <row r="203" spans="1:8" s="74" customFormat="1" ht="14.25" customHeight="1">
      <c r="A203" s="75"/>
      <c r="B203" s="94"/>
      <c r="C203" s="201" t="s">
        <v>62</v>
      </c>
      <c r="D203" s="199" t="s">
        <v>354</v>
      </c>
      <c r="E203" s="197" t="s">
        <v>249</v>
      </c>
      <c r="F203" s="38"/>
      <c r="G203" s="38"/>
      <c r="H203" s="126"/>
    </row>
    <row r="204" spans="1:8" s="74" customFormat="1" ht="14.25" customHeight="1">
      <c r="A204" s="75"/>
      <c r="B204" s="194">
        <v>3</v>
      </c>
      <c r="C204" s="5" t="s">
        <v>132</v>
      </c>
      <c r="E204" s="197" t="s">
        <v>249</v>
      </c>
      <c r="F204" s="39">
        <f>IF(E204="Yes",15,0)</f>
        <v>15</v>
      </c>
      <c r="G204" s="183">
        <f>F204</f>
        <v>15</v>
      </c>
      <c r="H204" s="196"/>
    </row>
    <row r="205" spans="1:8" s="74" customFormat="1" ht="14.25" customHeight="1">
      <c r="A205" s="75"/>
      <c r="B205" s="94">
        <v>4</v>
      </c>
      <c r="C205" s="201" t="s">
        <v>356</v>
      </c>
      <c r="D205" s="199"/>
      <c r="E205" s="197" t="s">
        <v>249</v>
      </c>
      <c r="F205" s="39">
        <f>IF(E205="Yes",15,0)</f>
        <v>15</v>
      </c>
      <c r="G205" s="183">
        <f>F205</f>
        <v>15</v>
      </c>
      <c r="H205" s="120"/>
    </row>
    <row r="206" spans="1:8" s="74" customFormat="1" ht="14.25" customHeight="1">
      <c r="A206" s="75"/>
      <c r="B206" s="94">
        <v>5</v>
      </c>
      <c r="C206" s="201" t="s">
        <v>357</v>
      </c>
      <c r="D206" s="199"/>
      <c r="E206" s="197" t="s">
        <v>249</v>
      </c>
      <c r="F206" s="39">
        <f>IF(E206="Yes",15,0)</f>
        <v>15</v>
      </c>
      <c r="G206" s="183">
        <f>F206</f>
        <v>15</v>
      </c>
      <c r="H206" s="120"/>
    </row>
    <row r="207" spans="1:8" s="74" customFormat="1" ht="24.75" customHeight="1">
      <c r="A207" s="75"/>
      <c r="B207" s="194">
        <v>6</v>
      </c>
      <c r="C207" s="70" t="s">
        <v>142</v>
      </c>
      <c r="D207" s="175"/>
      <c r="E207" s="202" t="s">
        <v>290</v>
      </c>
      <c r="F207" s="39">
        <f>IFERROR(VLOOKUP(E207,KPIs!$K$16:$L$20,2,FALSE),0)</f>
        <v>20</v>
      </c>
      <c r="G207" s="150">
        <f>F207</f>
        <v>20</v>
      </c>
      <c r="H207" s="111"/>
    </row>
    <row r="208" spans="1:8" s="74" customFormat="1" ht="24.75" customHeight="1">
      <c r="A208" s="75"/>
      <c r="B208" s="193">
        <v>7</v>
      </c>
      <c r="C208" s="182" t="s">
        <v>363</v>
      </c>
      <c r="D208" s="182"/>
      <c r="E208" s="166" t="s">
        <v>249</v>
      </c>
      <c r="F208" s="39">
        <f>IF(E208="Yes",5,0)</f>
        <v>5</v>
      </c>
      <c r="G208" s="183">
        <f>F208</f>
        <v>5</v>
      </c>
      <c r="H208" s="177"/>
    </row>
    <row r="209" spans="1:8" s="74" customFormat="1" ht="14.25" customHeight="1">
      <c r="A209" s="75"/>
      <c r="B209" s="84" t="s">
        <v>86</v>
      </c>
      <c r="C209" s="85"/>
      <c r="D209" s="85"/>
      <c r="E209" s="21"/>
      <c r="F209" s="41">
        <f>SUM(F196:F208)</f>
        <v>100</v>
      </c>
      <c r="G209" s="41">
        <f>SUM(G196:G208)</f>
        <v>100</v>
      </c>
      <c r="H209" s="112"/>
    </row>
    <row r="210" spans="1:8" s="74" customFormat="1" ht="14.25" customHeight="1">
      <c r="A210" s="75"/>
      <c r="B210" s="6"/>
      <c r="C210" s="5"/>
      <c r="D210" s="5"/>
      <c r="E210" s="26"/>
      <c r="F210" s="63"/>
      <c r="G210" s="63"/>
      <c r="H210" s="70"/>
    </row>
    <row r="211" spans="1:8" s="74" customFormat="1" ht="14.25" customHeight="1">
      <c r="A211" s="75"/>
      <c r="B211" s="89" t="s">
        <v>258</v>
      </c>
      <c r="C211" s="90"/>
      <c r="D211" s="90"/>
      <c r="E211" s="20" t="s">
        <v>188</v>
      </c>
      <c r="F211" s="36" t="s">
        <v>222</v>
      </c>
      <c r="G211" s="148" t="s">
        <v>87</v>
      </c>
      <c r="H211" s="76" t="s">
        <v>52</v>
      </c>
    </row>
    <row r="212" spans="1:8" s="74" customFormat="1" ht="14.25" customHeight="1">
      <c r="A212" s="75"/>
      <c r="B212" s="13">
        <v>1</v>
      </c>
      <c r="C212" s="241" t="s">
        <v>7</v>
      </c>
      <c r="D212" s="241"/>
      <c r="E212" s="197" t="s">
        <v>401</v>
      </c>
      <c r="F212" s="45">
        <f>IFERROR(VLOOKUP($E$212,KPIs!$R$3:$S$8,2,FALSE),0)</f>
        <v>30</v>
      </c>
      <c r="G212" s="157">
        <f>F212</f>
        <v>30</v>
      </c>
      <c r="H212" s="101"/>
    </row>
    <row r="213" spans="1:8" s="74" customFormat="1" ht="14.25" customHeight="1">
      <c r="A213" s="75"/>
      <c r="B213" s="15">
        <v>2</v>
      </c>
      <c r="C213" s="214" t="s">
        <v>8</v>
      </c>
      <c r="D213" s="214"/>
      <c r="E213" s="197" t="s">
        <v>299</v>
      </c>
      <c r="F213" s="39">
        <f>IFERROR(VLOOKUP(E213,KPIs!$R$11:$S$14,2,FALSE),0)</f>
        <v>20</v>
      </c>
      <c r="G213" s="50">
        <f>F213</f>
        <v>20</v>
      </c>
      <c r="H213" s="113"/>
    </row>
    <row r="214" spans="1:8" s="74" customFormat="1" ht="14.25" customHeight="1">
      <c r="A214" s="75"/>
      <c r="B214" s="15">
        <v>3</v>
      </c>
      <c r="C214" s="214" t="s">
        <v>134</v>
      </c>
      <c r="D214" s="214"/>
      <c r="E214" s="197" t="s">
        <v>249</v>
      </c>
      <c r="F214" s="39">
        <f>IF(E214="Yes",20,0)</f>
        <v>20</v>
      </c>
      <c r="G214" s="50">
        <f t="shared" ref="G214:G215" si="16">F214</f>
        <v>20</v>
      </c>
      <c r="H214" s="113"/>
    </row>
    <row r="215" spans="1:8" s="74" customFormat="1" ht="14.25" customHeight="1">
      <c r="A215" s="75"/>
      <c r="B215" s="12">
        <v>4</v>
      </c>
      <c r="C215" s="214" t="s">
        <v>140</v>
      </c>
      <c r="D215" s="214"/>
      <c r="E215" s="197" t="s">
        <v>406</v>
      </c>
      <c r="F215" s="39">
        <f>IFERROR(VLOOKUP(E215,KPIs!$R$19:$S$22,2,FALSE),0)</f>
        <v>30</v>
      </c>
      <c r="G215" s="50">
        <f t="shared" si="16"/>
        <v>30</v>
      </c>
      <c r="H215" s="111"/>
    </row>
    <row r="216" spans="1:8" s="74" customFormat="1" ht="14.25" customHeight="1">
      <c r="A216" s="75"/>
      <c r="B216" s="84" t="s">
        <v>86</v>
      </c>
      <c r="C216" s="85"/>
      <c r="D216" s="85"/>
      <c r="E216" s="21"/>
      <c r="F216" s="41">
        <f>SUM(F212:F215)</f>
        <v>100</v>
      </c>
      <c r="G216" s="41">
        <f>SUM(G212:G215)</f>
        <v>100</v>
      </c>
      <c r="H216" s="112"/>
    </row>
    <row r="217" spans="1:8" s="74" customFormat="1" ht="14.25" customHeight="1">
      <c r="A217" s="75"/>
      <c r="B217" s="6"/>
      <c r="C217" s="5"/>
      <c r="D217" s="5"/>
      <c r="E217" s="26"/>
      <c r="F217" s="63"/>
      <c r="G217" s="63"/>
      <c r="H217" s="70"/>
    </row>
    <row r="218" spans="1:8" s="75" customFormat="1" ht="14.25" customHeight="1">
      <c r="B218" s="89" t="s">
        <v>141</v>
      </c>
      <c r="C218" s="90"/>
      <c r="D218" s="90"/>
      <c r="E218" s="20" t="s">
        <v>188</v>
      </c>
      <c r="F218" s="36" t="s">
        <v>222</v>
      </c>
      <c r="G218" s="148" t="s">
        <v>87</v>
      </c>
      <c r="H218" s="76" t="s">
        <v>52</v>
      </c>
    </row>
    <row r="219" spans="1:8" s="75" customFormat="1" ht="14.25" customHeight="1">
      <c r="B219" s="13">
        <v>1</v>
      </c>
      <c r="C219" s="14" t="s">
        <v>444</v>
      </c>
      <c r="D219" s="14"/>
      <c r="E219" s="197" t="s">
        <v>249</v>
      </c>
      <c r="F219" s="38"/>
      <c r="G219" s="64"/>
      <c r="H219" s="127"/>
    </row>
    <row r="220" spans="1:8" s="74" customFormat="1" ht="14.25" customHeight="1">
      <c r="A220" s="75"/>
      <c r="B220" s="15">
        <v>2</v>
      </c>
      <c r="C220" s="16" t="s">
        <v>179</v>
      </c>
      <c r="D220" s="16"/>
      <c r="E220" s="197" t="s">
        <v>249</v>
      </c>
      <c r="F220" s="39">
        <f>IF(E220="Yes",20,0)</f>
        <v>20</v>
      </c>
      <c r="G220" s="39">
        <f>F220</f>
        <v>20</v>
      </c>
      <c r="H220" s="116"/>
    </row>
    <row r="221" spans="1:8" s="74" customFormat="1" ht="14.25" customHeight="1">
      <c r="A221" s="75"/>
      <c r="B221" s="15">
        <v>3</v>
      </c>
      <c r="C221" s="16" t="s">
        <v>180</v>
      </c>
      <c r="D221" s="16"/>
      <c r="E221" s="197" t="s">
        <v>249</v>
      </c>
      <c r="F221" s="39">
        <f>IF(E221="Yes",20,0)</f>
        <v>20</v>
      </c>
      <c r="G221" s="39">
        <f>F221</f>
        <v>20</v>
      </c>
      <c r="H221" s="116"/>
    </row>
    <row r="222" spans="1:8" s="74" customFormat="1" ht="14.25" customHeight="1">
      <c r="A222" s="75"/>
      <c r="B222" s="15">
        <v>4</v>
      </c>
      <c r="C222" s="16" t="s">
        <v>91</v>
      </c>
      <c r="D222" s="9"/>
      <c r="E222" s="197" t="s">
        <v>249</v>
      </c>
      <c r="F222" s="39">
        <f>IF(E222="Yes",20,0)</f>
        <v>20</v>
      </c>
      <c r="G222" s="39">
        <f>F222</f>
        <v>20</v>
      </c>
      <c r="H222" s="116"/>
    </row>
    <row r="223" spans="1:8" s="74" customFormat="1" ht="14.25" customHeight="1">
      <c r="A223" s="75"/>
      <c r="B223" s="15">
        <v>5</v>
      </c>
      <c r="C223" s="9" t="s">
        <v>144</v>
      </c>
      <c r="D223" s="9"/>
      <c r="E223" s="197" t="s">
        <v>249</v>
      </c>
      <c r="F223" s="39">
        <f>IF(E223="Yes",20,0)</f>
        <v>20</v>
      </c>
      <c r="G223" s="39">
        <f t="shared" ref="G223:G224" si="17">F223</f>
        <v>20</v>
      </c>
      <c r="H223" s="116"/>
    </row>
    <row r="224" spans="1:8" s="74" customFormat="1" ht="14.25" customHeight="1">
      <c r="A224" s="75"/>
      <c r="B224" s="12">
        <v>6</v>
      </c>
      <c r="C224" s="10" t="s">
        <v>145</v>
      </c>
      <c r="D224" s="10"/>
      <c r="E224" s="197" t="s">
        <v>249</v>
      </c>
      <c r="F224" s="39">
        <f>IF(E224="Yes",20,0)</f>
        <v>20</v>
      </c>
      <c r="G224" s="39">
        <f t="shared" si="17"/>
        <v>20</v>
      </c>
      <c r="H224" s="111"/>
    </row>
    <row r="225" spans="1:10" s="74" customFormat="1" ht="14.25" customHeight="1">
      <c r="A225" s="75"/>
      <c r="B225" s="84" t="s">
        <v>86</v>
      </c>
      <c r="C225" s="85"/>
      <c r="D225" s="85"/>
      <c r="E225" s="21"/>
      <c r="F225" s="41">
        <f>SUM(F219:F224)</f>
        <v>100</v>
      </c>
      <c r="G225" s="41">
        <f>SUM(G219:G224)</f>
        <v>100</v>
      </c>
      <c r="H225" s="112"/>
    </row>
    <row r="226" spans="1:10" s="74" customFormat="1" ht="14.25" customHeight="1">
      <c r="A226" s="75"/>
      <c r="B226" s="6"/>
      <c r="C226" s="5"/>
      <c r="D226" s="5"/>
      <c r="E226" s="26"/>
      <c r="F226" s="63"/>
      <c r="G226" s="63"/>
      <c r="H226" s="70"/>
    </row>
    <row r="227" spans="1:10" s="75" customFormat="1" ht="14.25" customHeight="1">
      <c r="B227" s="71" t="s">
        <v>125</v>
      </c>
      <c r="C227" s="72"/>
      <c r="D227" s="73"/>
      <c r="E227" s="19"/>
      <c r="F227" s="35"/>
      <c r="G227" s="35"/>
      <c r="H227" s="108"/>
    </row>
    <row r="228" spans="1:10" s="74" customFormat="1" ht="14.25" customHeight="1">
      <c r="A228" s="75"/>
      <c r="B228" s="103" t="s">
        <v>120</v>
      </c>
      <c r="C228" s="104"/>
      <c r="D228" s="104"/>
      <c r="E228" s="20" t="s">
        <v>188</v>
      </c>
      <c r="F228" s="36" t="s">
        <v>222</v>
      </c>
      <c r="G228" s="148" t="s">
        <v>87</v>
      </c>
      <c r="H228" s="76" t="s">
        <v>52</v>
      </c>
      <c r="J228" s="75"/>
    </row>
    <row r="229" spans="1:10" s="74" customFormat="1" ht="14.25" customHeight="1">
      <c r="A229" s="75"/>
      <c r="B229" s="15">
        <v>1</v>
      </c>
      <c r="C229" s="81" t="s">
        <v>214</v>
      </c>
      <c r="D229" s="91"/>
      <c r="E229" s="197">
        <v>2024</v>
      </c>
      <c r="F229" s="39">
        <f>IF(E229&gt;=$D$10-1, 5, 0)</f>
        <v>5</v>
      </c>
      <c r="G229" s="53">
        <f>F229</f>
        <v>5</v>
      </c>
      <c r="H229" s="144"/>
    </row>
    <row r="230" spans="1:10" s="75" customFormat="1" ht="14.25" customHeight="1">
      <c r="B230" s="15">
        <v>2</v>
      </c>
      <c r="C230" s="268" t="s">
        <v>302</v>
      </c>
      <c r="D230" s="268"/>
      <c r="E230" s="25"/>
      <c r="F230" s="56"/>
      <c r="G230" s="56"/>
      <c r="H230" s="145"/>
      <c r="J230" s="74"/>
    </row>
    <row r="231" spans="1:10" s="74" customFormat="1" ht="14.25" customHeight="1">
      <c r="A231" s="75"/>
      <c r="B231" s="15"/>
      <c r="C231" s="81" t="s">
        <v>62</v>
      </c>
      <c r="D231" s="91" t="s">
        <v>27</v>
      </c>
      <c r="E231" s="197" t="s">
        <v>249</v>
      </c>
      <c r="F231" s="39">
        <f>IF($E$229&lt;$D$10-1,0,(IF('FORM '!E231="yes",5,0)))</f>
        <v>5</v>
      </c>
      <c r="G231" s="39">
        <f>F231</f>
        <v>5</v>
      </c>
      <c r="H231" s="116"/>
    </row>
    <row r="232" spans="1:10" s="74" customFormat="1" ht="14.25" customHeight="1">
      <c r="A232" s="75"/>
      <c r="B232" s="15"/>
      <c r="C232" s="81" t="s">
        <v>62</v>
      </c>
      <c r="D232" s="91" t="s">
        <v>100</v>
      </c>
      <c r="E232" s="197" t="s">
        <v>249</v>
      </c>
      <c r="F232" s="39">
        <f>IF($E$229&lt;$D$10-1,0,(IF('FORM '!E232="yes",5,0)))</f>
        <v>5</v>
      </c>
      <c r="G232" s="39">
        <f t="shared" ref="G232:G249" si="18">F232</f>
        <v>5</v>
      </c>
      <c r="H232" s="146"/>
    </row>
    <row r="233" spans="1:10" s="74" customFormat="1" ht="14.25" customHeight="1">
      <c r="A233" s="75"/>
      <c r="B233" s="15"/>
      <c r="C233" s="81" t="s">
        <v>62</v>
      </c>
      <c r="D233" s="91" t="s">
        <v>102</v>
      </c>
      <c r="E233" s="197" t="s">
        <v>249</v>
      </c>
      <c r="F233" s="39">
        <f>IF($E$229&lt;$D$10-1,0,(IF('FORM '!E233="yes",5,0)))</f>
        <v>5</v>
      </c>
      <c r="G233" s="39">
        <f t="shared" si="18"/>
        <v>5</v>
      </c>
      <c r="H233" s="116"/>
    </row>
    <row r="234" spans="1:10" s="74" customFormat="1" ht="14.25" customHeight="1">
      <c r="A234" s="75"/>
      <c r="B234" s="15"/>
      <c r="C234" s="81" t="s">
        <v>62</v>
      </c>
      <c r="D234" s="91" t="s">
        <v>56</v>
      </c>
      <c r="E234" s="197" t="s">
        <v>249</v>
      </c>
      <c r="F234" s="39">
        <f>IF($E$229&lt;$D$10-1,0,(IF('FORM '!E234="yes",5,0)))</f>
        <v>5</v>
      </c>
      <c r="G234" s="39">
        <f t="shared" si="18"/>
        <v>5</v>
      </c>
      <c r="H234" s="116"/>
    </row>
    <row r="235" spans="1:10" s="74" customFormat="1" ht="14.25" customHeight="1">
      <c r="A235" s="75"/>
      <c r="B235" s="15"/>
      <c r="C235" s="81" t="s">
        <v>62</v>
      </c>
      <c r="D235" s="67" t="s">
        <v>103</v>
      </c>
      <c r="E235" s="197" t="s">
        <v>249</v>
      </c>
      <c r="F235" s="39">
        <f>IF($E$229&lt;$D$10-1,0,(IF('FORM '!E235="yes",5,0)))</f>
        <v>5</v>
      </c>
      <c r="G235" s="39">
        <f t="shared" si="18"/>
        <v>5</v>
      </c>
      <c r="H235" s="116"/>
    </row>
    <row r="236" spans="1:10" s="74" customFormat="1" ht="14.25" customHeight="1">
      <c r="A236" s="75"/>
      <c r="B236" s="15"/>
      <c r="C236" s="81" t="s">
        <v>62</v>
      </c>
      <c r="D236" s="91" t="s">
        <v>104</v>
      </c>
      <c r="E236" s="197" t="s">
        <v>249</v>
      </c>
      <c r="F236" s="39">
        <f>IF($E$229&lt;$D$10-1,0,(IF('FORM '!E236="yes",5,0)))</f>
        <v>5</v>
      </c>
      <c r="G236" s="39">
        <f t="shared" si="18"/>
        <v>5</v>
      </c>
      <c r="H236" s="116"/>
    </row>
    <row r="237" spans="1:10" s="74" customFormat="1" ht="14.25" customHeight="1">
      <c r="A237" s="75"/>
      <c r="B237" s="15"/>
      <c r="C237" s="81" t="s">
        <v>62</v>
      </c>
      <c r="D237" s="91" t="s">
        <v>57</v>
      </c>
      <c r="E237" s="197" t="s">
        <v>249</v>
      </c>
      <c r="F237" s="39">
        <f>IF($E$229&lt;$D$10-1,0,(IF('FORM '!E237="yes",5,0)))</f>
        <v>5</v>
      </c>
      <c r="G237" s="39">
        <f t="shared" si="18"/>
        <v>5</v>
      </c>
      <c r="H237" s="116"/>
    </row>
    <row r="238" spans="1:10" s="74" customFormat="1" ht="14.25" customHeight="1">
      <c r="A238" s="75"/>
      <c r="B238" s="15"/>
      <c r="C238" s="81" t="s">
        <v>62</v>
      </c>
      <c r="D238" s="91" t="s">
        <v>135</v>
      </c>
      <c r="E238" s="197" t="s">
        <v>249</v>
      </c>
      <c r="F238" s="39">
        <f>IF($E$229&lt;$D$10-1,0,(IF('FORM '!E238="yes",5,0)))</f>
        <v>5</v>
      </c>
      <c r="G238" s="39">
        <f t="shared" si="18"/>
        <v>5</v>
      </c>
      <c r="H238" s="116"/>
    </row>
    <row r="239" spans="1:10" s="74" customFormat="1" ht="14.25" customHeight="1">
      <c r="A239" s="75"/>
      <c r="B239" s="15"/>
      <c r="C239" s="81" t="s">
        <v>62</v>
      </c>
      <c r="D239" s="9" t="s">
        <v>58</v>
      </c>
      <c r="E239" s="197" t="s">
        <v>249</v>
      </c>
      <c r="F239" s="39">
        <f>IF($E$229&lt;$D$10-1,0,(IF('FORM '!E239="yes",5,0)))</f>
        <v>5</v>
      </c>
      <c r="G239" s="39">
        <f t="shared" si="18"/>
        <v>5</v>
      </c>
      <c r="H239" s="116"/>
    </row>
    <row r="240" spans="1:10" s="74" customFormat="1" ht="14.25" customHeight="1">
      <c r="A240" s="75"/>
      <c r="B240" s="15"/>
      <c r="C240" s="81" t="s">
        <v>62</v>
      </c>
      <c r="D240" s="9" t="s">
        <v>189</v>
      </c>
      <c r="E240" s="197" t="s">
        <v>249</v>
      </c>
      <c r="F240" s="39">
        <f>IF($E$229&lt;$D$10-1,0,(IF('FORM '!E240="yes",5,0)))</f>
        <v>5</v>
      </c>
      <c r="G240" s="39">
        <f t="shared" si="18"/>
        <v>5</v>
      </c>
      <c r="H240" s="116"/>
    </row>
    <row r="241" spans="1:13" s="74" customFormat="1" ht="14.25" customHeight="1">
      <c r="A241" s="75"/>
      <c r="B241" s="15"/>
      <c r="C241" s="81" t="s">
        <v>62</v>
      </c>
      <c r="D241" s="9" t="s">
        <v>59</v>
      </c>
      <c r="E241" s="197" t="s">
        <v>249</v>
      </c>
      <c r="F241" s="39">
        <f>IF($E$229&lt;$D$10-1,0,(IF('FORM '!E241="yes",5,0)))</f>
        <v>5</v>
      </c>
      <c r="G241" s="39">
        <f t="shared" si="18"/>
        <v>5</v>
      </c>
      <c r="H241" s="116"/>
    </row>
    <row r="242" spans="1:13" s="74" customFormat="1" ht="14.25" customHeight="1">
      <c r="A242" s="75"/>
      <c r="B242" s="15"/>
      <c r="C242" s="81" t="s">
        <v>62</v>
      </c>
      <c r="D242" s="9" t="s">
        <v>60</v>
      </c>
      <c r="E242" s="197" t="s">
        <v>249</v>
      </c>
      <c r="F242" s="39">
        <f>IF($E$229&lt;$D$10-1,0,(IF('FORM '!E242="yes",5,0)))</f>
        <v>5</v>
      </c>
      <c r="G242" s="39">
        <f t="shared" si="18"/>
        <v>5</v>
      </c>
      <c r="H242" s="116"/>
    </row>
    <row r="243" spans="1:13" s="74" customFormat="1" ht="14.25" customHeight="1">
      <c r="A243" s="75"/>
      <c r="B243" s="15"/>
      <c r="C243" s="81" t="s">
        <v>62</v>
      </c>
      <c r="D243" s="9" t="s">
        <v>61</v>
      </c>
      <c r="E243" s="197" t="s">
        <v>249</v>
      </c>
      <c r="F243" s="39">
        <f>IF($E$229&lt;$D$10-1,0,(IF('FORM '!E243="yes",5,0)))</f>
        <v>5</v>
      </c>
      <c r="G243" s="39">
        <f t="shared" si="18"/>
        <v>5</v>
      </c>
      <c r="H243" s="116"/>
    </row>
    <row r="244" spans="1:13" s="74" customFormat="1" ht="14.25" customHeight="1">
      <c r="A244" s="75"/>
      <c r="B244" s="15"/>
      <c r="C244" s="81" t="s">
        <v>62</v>
      </c>
      <c r="D244" s="9" t="s">
        <v>101</v>
      </c>
      <c r="E244" s="197" t="s">
        <v>249</v>
      </c>
      <c r="F244" s="39">
        <f>IF($E$229&lt;$D$10-1,0,(IF('FORM '!E244="yes",5,0)))</f>
        <v>5</v>
      </c>
      <c r="G244" s="39">
        <f t="shared" si="18"/>
        <v>5</v>
      </c>
      <c r="H244" s="116"/>
    </row>
    <row r="245" spans="1:13" s="74" customFormat="1" ht="14.25" customHeight="1">
      <c r="A245" s="75"/>
      <c r="B245" s="15"/>
      <c r="C245" s="81" t="s">
        <v>62</v>
      </c>
      <c r="D245" s="9" t="s">
        <v>190</v>
      </c>
      <c r="E245" s="197" t="s">
        <v>249</v>
      </c>
      <c r="F245" s="39">
        <f>IF($E$229&lt;$D$10-1,0,(IF('FORM '!E245="yes",5,0)))</f>
        <v>5</v>
      </c>
      <c r="G245" s="39">
        <f t="shared" si="18"/>
        <v>5</v>
      </c>
      <c r="H245" s="116"/>
    </row>
    <row r="246" spans="1:13" s="74" customFormat="1" ht="14.25" customHeight="1">
      <c r="A246" s="75"/>
      <c r="B246" s="15"/>
      <c r="C246" s="81" t="s">
        <v>62</v>
      </c>
      <c r="D246" s="9" t="s">
        <v>191</v>
      </c>
      <c r="E246" s="197" t="s">
        <v>249</v>
      </c>
      <c r="F246" s="39">
        <f>IF($E$229&lt;$D$10-1,0,(IF('FORM '!E246="yes",5,0)))</f>
        <v>5</v>
      </c>
      <c r="G246" s="39">
        <f t="shared" si="18"/>
        <v>5</v>
      </c>
      <c r="H246" s="116"/>
    </row>
    <row r="247" spans="1:13" s="74" customFormat="1" ht="14.25" customHeight="1">
      <c r="A247" s="75"/>
      <c r="B247" s="15"/>
      <c r="C247" s="81" t="s">
        <v>62</v>
      </c>
      <c r="D247" s="9" t="s">
        <v>75</v>
      </c>
      <c r="E247" s="197" t="s">
        <v>249</v>
      </c>
      <c r="F247" s="39">
        <f>IF($E$229&lt;$D$10-1,0,(IF('FORM '!E247="yes",5,0)))</f>
        <v>5</v>
      </c>
      <c r="G247" s="39">
        <f t="shared" si="18"/>
        <v>5</v>
      </c>
      <c r="H247" s="116"/>
    </row>
    <row r="248" spans="1:13" s="74" customFormat="1" ht="14.25" customHeight="1">
      <c r="A248" s="75"/>
      <c r="B248" s="15"/>
      <c r="C248" s="81" t="s">
        <v>62</v>
      </c>
      <c r="D248" s="9" t="s">
        <v>105</v>
      </c>
      <c r="E248" s="197" t="s">
        <v>249</v>
      </c>
      <c r="F248" s="39">
        <f>IF($E$229&lt;$D$10-1,0,(IF('FORM '!E248="yes",5,0)))</f>
        <v>5</v>
      </c>
      <c r="G248" s="39">
        <f t="shared" si="18"/>
        <v>5</v>
      </c>
      <c r="H248" s="115"/>
    </row>
    <row r="249" spans="1:13" s="74" customFormat="1" ht="14.25" customHeight="1">
      <c r="A249" s="75"/>
      <c r="B249" s="12"/>
      <c r="C249" s="83" t="s">
        <v>62</v>
      </c>
      <c r="D249" s="10" t="s">
        <v>28</v>
      </c>
      <c r="E249" s="197" t="s">
        <v>249</v>
      </c>
      <c r="F249" s="39">
        <f>IF($E$229&lt;$D$10-1,0,(IF('FORM '!E249="yes",5,0)))</f>
        <v>5</v>
      </c>
      <c r="G249" s="39">
        <f t="shared" si="18"/>
        <v>5</v>
      </c>
      <c r="H249" s="117"/>
    </row>
    <row r="250" spans="1:13" s="74" customFormat="1" ht="14.25" customHeight="1">
      <c r="A250" s="75"/>
      <c r="B250" s="84" t="s">
        <v>86</v>
      </c>
      <c r="C250" s="85"/>
      <c r="D250" s="85"/>
      <c r="E250" s="21"/>
      <c r="F250" s="41">
        <f>SUM(F229:F249)</f>
        <v>100</v>
      </c>
      <c r="G250" s="41">
        <f>SUM(G229:G249)</f>
        <v>100</v>
      </c>
      <c r="H250" s="112"/>
    </row>
    <row r="251" spans="1:13" s="74" customFormat="1" ht="14.25" customHeight="1">
      <c r="A251" s="75"/>
      <c r="B251" s="6"/>
      <c r="C251" s="5"/>
      <c r="D251" s="5"/>
      <c r="E251" s="26"/>
      <c r="F251" s="63"/>
      <c r="G251" s="63"/>
      <c r="H251" s="70"/>
    </row>
    <row r="252" spans="1:13" s="75" customFormat="1" ht="14.25" customHeight="1">
      <c r="B252" s="103" t="s">
        <v>121</v>
      </c>
      <c r="C252" s="104"/>
      <c r="D252" s="104"/>
      <c r="E252" s="20" t="s">
        <v>188</v>
      </c>
      <c r="F252" s="36" t="s">
        <v>222</v>
      </c>
      <c r="G252" s="148" t="s">
        <v>87</v>
      </c>
      <c r="H252" s="76" t="s">
        <v>52</v>
      </c>
      <c r="M252" s="105"/>
    </row>
    <row r="253" spans="1:13" s="74" customFormat="1" ht="14.25" customHeight="1">
      <c r="A253" s="75"/>
      <c r="B253" s="13">
        <v>1</v>
      </c>
      <c r="C253" s="240" t="s">
        <v>63</v>
      </c>
      <c r="D253" s="240"/>
      <c r="E253" s="197" t="s">
        <v>249</v>
      </c>
      <c r="F253" s="45">
        <f>IF(E253="Yes",5,0)</f>
        <v>5</v>
      </c>
      <c r="G253" s="157">
        <f>F253</f>
        <v>5</v>
      </c>
      <c r="H253" s="101"/>
      <c r="M253" s="97"/>
    </row>
    <row r="254" spans="1:13" s="74" customFormat="1" ht="14.25" customHeight="1">
      <c r="A254" s="75"/>
      <c r="B254" s="15">
        <v>2</v>
      </c>
      <c r="C254" s="215" t="s">
        <v>136</v>
      </c>
      <c r="D254" s="215"/>
      <c r="E254" s="197" t="s">
        <v>249</v>
      </c>
      <c r="F254" s="39">
        <f>IF($E$253="No",0,(IF('FORM '!E254="yes",5,0)))</f>
        <v>5</v>
      </c>
      <c r="G254" s="39">
        <f t="shared" ref="G254:G255" si="19">F254</f>
        <v>5</v>
      </c>
      <c r="H254" s="116"/>
      <c r="M254" s="97"/>
    </row>
    <row r="255" spans="1:13" s="74" customFormat="1" ht="14.25" customHeight="1">
      <c r="A255" s="75"/>
      <c r="B255" s="15">
        <v>3</v>
      </c>
      <c r="C255" s="215" t="s">
        <v>137</v>
      </c>
      <c r="D255" s="215"/>
      <c r="E255" s="197" t="s">
        <v>249</v>
      </c>
      <c r="F255" s="39">
        <f>IF($E$253="No",0,(IF('FORM '!E255="yes",5,0)))</f>
        <v>5</v>
      </c>
      <c r="G255" s="39">
        <f t="shared" si="19"/>
        <v>5</v>
      </c>
      <c r="H255" s="116"/>
      <c r="M255" s="97"/>
    </row>
    <row r="256" spans="1:13" s="75" customFormat="1" ht="14.25" customHeight="1">
      <c r="B256" s="15">
        <v>4</v>
      </c>
      <c r="C256" s="79" t="s">
        <v>64</v>
      </c>
      <c r="D256" s="79"/>
      <c r="E256" s="11"/>
      <c r="F256" s="54"/>
      <c r="G256" s="155"/>
      <c r="H256" s="95"/>
      <c r="J256" s="74"/>
      <c r="M256" s="105"/>
    </row>
    <row r="257" spans="1:13" s="75" customFormat="1" ht="14.25" customHeight="1">
      <c r="B257" s="15"/>
      <c r="C257" s="78"/>
      <c r="D257" s="16" t="s">
        <v>106</v>
      </c>
      <c r="E257" s="197" t="s">
        <v>249</v>
      </c>
      <c r="F257" s="39">
        <f>IF($E$253="No",0,(IF('FORM '!E257="yes",5,0)))</f>
        <v>5</v>
      </c>
      <c r="G257" s="39">
        <f>F257</f>
        <v>5</v>
      </c>
      <c r="H257" s="116"/>
      <c r="J257" s="74"/>
      <c r="M257" s="105"/>
    </row>
    <row r="258" spans="1:13" s="74" customFormat="1" ht="14.25" customHeight="1">
      <c r="A258" s="75"/>
      <c r="B258" s="15"/>
      <c r="C258" s="9" t="s">
        <v>62</v>
      </c>
      <c r="D258" s="91" t="s">
        <v>65</v>
      </c>
      <c r="E258" s="197" t="s">
        <v>249</v>
      </c>
      <c r="F258" s="39">
        <f>IF($E$253="No",0,(IF('FORM '!E258="yes",5,0)))</f>
        <v>5</v>
      </c>
      <c r="G258" s="39">
        <f t="shared" ref="G258:G271" si="20">F258</f>
        <v>5</v>
      </c>
      <c r="H258" s="113"/>
      <c r="M258" s="97"/>
    </row>
    <row r="259" spans="1:13" s="74" customFormat="1" ht="14.25" customHeight="1">
      <c r="A259" s="75"/>
      <c r="B259" s="15"/>
      <c r="C259" s="9" t="s">
        <v>62</v>
      </c>
      <c r="D259" s="67" t="s">
        <v>66</v>
      </c>
      <c r="E259" s="197" t="s">
        <v>249</v>
      </c>
      <c r="F259" s="39">
        <f>IF($E$253="No",0,(IF('FORM '!E259="yes",5,0)))</f>
        <v>5</v>
      </c>
      <c r="G259" s="39">
        <f t="shared" si="20"/>
        <v>5</v>
      </c>
      <c r="H259" s="113"/>
      <c r="M259" s="97"/>
    </row>
    <row r="260" spans="1:13" s="74" customFormat="1" ht="14.25" customHeight="1">
      <c r="A260" s="75"/>
      <c r="B260" s="15"/>
      <c r="C260" s="9" t="s">
        <v>62</v>
      </c>
      <c r="D260" s="67" t="s">
        <v>138</v>
      </c>
      <c r="E260" s="197" t="s">
        <v>249</v>
      </c>
      <c r="F260" s="39">
        <f>IF($E$253="No",0,(IF('FORM '!E260="yes",5,0)))</f>
        <v>5</v>
      </c>
      <c r="G260" s="39">
        <f t="shared" si="20"/>
        <v>5</v>
      </c>
      <c r="H260" s="113"/>
      <c r="M260" s="97"/>
    </row>
    <row r="261" spans="1:13" s="74" customFormat="1" ht="14.25" customHeight="1">
      <c r="A261" s="75"/>
      <c r="B261" s="15"/>
      <c r="C261" s="9" t="s">
        <v>62</v>
      </c>
      <c r="D261" s="67" t="s">
        <v>349</v>
      </c>
      <c r="E261" s="197" t="s">
        <v>249</v>
      </c>
      <c r="F261" s="39">
        <f>IF($E$253="No",0,(IF('FORM '!E261="yes",5,0)))</f>
        <v>5</v>
      </c>
      <c r="G261" s="39">
        <f t="shared" si="20"/>
        <v>5</v>
      </c>
      <c r="H261" s="113"/>
      <c r="M261" s="97"/>
    </row>
    <row r="262" spans="1:13" s="74" customFormat="1" ht="14.25" customHeight="1">
      <c r="A262" s="75"/>
      <c r="B262" s="15"/>
      <c r="C262" s="9" t="s">
        <v>62</v>
      </c>
      <c r="D262" s="67" t="s">
        <v>67</v>
      </c>
      <c r="E262" s="197" t="s">
        <v>249</v>
      </c>
      <c r="F262" s="39">
        <f>IF($E$253="No",0,(IF('FORM '!E262="yes",5,0)))</f>
        <v>5</v>
      </c>
      <c r="G262" s="39">
        <f t="shared" si="20"/>
        <v>5</v>
      </c>
      <c r="H262" s="113"/>
      <c r="M262" s="97"/>
    </row>
    <row r="263" spans="1:13" s="74" customFormat="1" ht="14.25" customHeight="1">
      <c r="A263" s="75"/>
      <c r="B263" s="15"/>
      <c r="C263" s="9" t="s">
        <v>62</v>
      </c>
      <c r="D263" s="16" t="s">
        <v>68</v>
      </c>
      <c r="E263" s="197" t="s">
        <v>249</v>
      </c>
      <c r="F263" s="39">
        <f>IF($E$253="No",0,(IF('FORM '!E263="yes",5,0)))</f>
        <v>5</v>
      </c>
      <c r="G263" s="39">
        <f t="shared" si="20"/>
        <v>5</v>
      </c>
      <c r="H263" s="113"/>
      <c r="M263" s="97"/>
    </row>
    <row r="264" spans="1:13" s="74" customFormat="1" ht="14.25" customHeight="1">
      <c r="A264" s="75"/>
      <c r="B264" s="15"/>
      <c r="C264" s="9" t="s">
        <v>62</v>
      </c>
      <c r="D264" s="16" t="s">
        <v>69</v>
      </c>
      <c r="E264" s="197" t="s">
        <v>249</v>
      </c>
      <c r="F264" s="39">
        <f>IF($E$253="No",0,(IF('FORM '!E264="yes",5,0)))</f>
        <v>5</v>
      </c>
      <c r="G264" s="39">
        <f t="shared" si="20"/>
        <v>5</v>
      </c>
      <c r="H264" s="113"/>
      <c r="M264" s="97"/>
    </row>
    <row r="265" spans="1:13" s="74" customFormat="1" ht="14.25" customHeight="1">
      <c r="A265" s="75"/>
      <c r="B265" s="15"/>
      <c r="C265" s="9" t="s">
        <v>62</v>
      </c>
      <c r="D265" s="67" t="s">
        <v>192</v>
      </c>
      <c r="E265" s="197" t="s">
        <v>249</v>
      </c>
      <c r="F265" s="39">
        <f>IF($E$253="No",0,(IF('FORM '!E265="yes",5,0)))</f>
        <v>5</v>
      </c>
      <c r="G265" s="39">
        <f t="shared" si="20"/>
        <v>5</v>
      </c>
      <c r="H265" s="113"/>
      <c r="M265" s="97"/>
    </row>
    <row r="266" spans="1:13" s="74" customFormat="1" ht="14.25" customHeight="1">
      <c r="A266" s="75"/>
      <c r="B266" s="15"/>
      <c r="C266" s="9" t="s">
        <v>62</v>
      </c>
      <c r="D266" s="16" t="s">
        <v>70</v>
      </c>
      <c r="E266" s="197" t="s">
        <v>249</v>
      </c>
      <c r="F266" s="39">
        <f>IF($E$253="No",0,(IF('FORM '!E266="yes",5,0)))</f>
        <v>5</v>
      </c>
      <c r="G266" s="39">
        <f t="shared" si="20"/>
        <v>5</v>
      </c>
      <c r="H266" s="113"/>
      <c r="M266" s="97"/>
    </row>
    <row r="267" spans="1:13" s="74" customFormat="1" ht="14.25" customHeight="1">
      <c r="A267" s="75"/>
      <c r="B267" s="87"/>
      <c r="C267" s="9" t="s">
        <v>62</v>
      </c>
      <c r="D267" s="16" t="s">
        <v>71</v>
      </c>
      <c r="E267" s="197" t="s">
        <v>249</v>
      </c>
      <c r="F267" s="39">
        <f>IF($E$253="No",0,(IF('FORM '!E267="yes",5,0)))</f>
        <v>5</v>
      </c>
      <c r="G267" s="39">
        <f t="shared" si="20"/>
        <v>5</v>
      </c>
      <c r="H267" s="113"/>
      <c r="M267" s="97"/>
    </row>
    <row r="268" spans="1:13" s="74" customFormat="1" ht="14.25" customHeight="1">
      <c r="A268" s="75"/>
      <c r="B268" s="87"/>
      <c r="C268" s="9" t="s">
        <v>62</v>
      </c>
      <c r="D268" s="16" t="s">
        <v>72</v>
      </c>
      <c r="E268" s="197" t="s">
        <v>249</v>
      </c>
      <c r="F268" s="39">
        <f>IF($E$253="No",0,(IF('FORM '!E268="yes",5,0)))</f>
        <v>5</v>
      </c>
      <c r="G268" s="39">
        <f t="shared" si="20"/>
        <v>5</v>
      </c>
      <c r="H268" s="113"/>
      <c r="M268" s="97"/>
    </row>
    <row r="269" spans="1:13" s="74" customFormat="1" ht="14.25" customHeight="1">
      <c r="A269" s="75"/>
      <c r="B269" s="87"/>
      <c r="C269" s="9" t="s">
        <v>62</v>
      </c>
      <c r="D269" s="16" t="s">
        <v>73</v>
      </c>
      <c r="E269" s="197" t="s">
        <v>249</v>
      </c>
      <c r="F269" s="39">
        <f>IF($E$253="No",0,(IF('FORM '!E269="yes",5,0)))</f>
        <v>5</v>
      </c>
      <c r="G269" s="39">
        <f t="shared" si="20"/>
        <v>5</v>
      </c>
      <c r="H269" s="113"/>
      <c r="M269" s="97"/>
    </row>
    <row r="270" spans="1:13" s="74" customFormat="1" ht="14.25" customHeight="1">
      <c r="A270" s="75"/>
      <c r="B270" s="87"/>
      <c r="C270" s="9" t="s">
        <v>62</v>
      </c>
      <c r="D270" s="16" t="s">
        <v>74</v>
      </c>
      <c r="E270" s="197" t="s">
        <v>249</v>
      </c>
      <c r="F270" s="39">
        <f>IF($E$253="No",0,(IF('FORM '!E270="yes",5,0)))</f>
        <v>5</v>
      </c>
      <c r="G270" s="39">
        <f t="shared" si="20"/>
        <v>5</v>
      </c>
      <c r="H270" s="113"/>
      <c r="M270" s="97"/>
    </row>
    <row r="271" spans="1:13" s="74" customFormat="1" ht="14.25" customHeight="1">
      <c r="A271" s="75"/>
      <c r="B271" s="87"/>
      <c r="C271" s="9" t="s">
        <v>62</v>
      </c>
      <c r="D271" s="16" t="s">
        <v>107</v>
      </c>
      <c r="E271" s="197" t="s">
        <v>249</v>
      </c>
      <c r="F271" s="39">
        <f>IF($E$253="No",0,(IF('FORM '!E271="yes",5,0)))</f>
        <v>5</v>
      </c>
      <c r="G271" s="39">
        <f t="shared" si="20"/>
        <v>5</v>
      </c>
      <c r="H271" s="113"/>
      <c r="M271" s="97"/>
    </row>
    <row r="272" spans="1:13" s="74" customFormat="1" ht="14.25" customHeight="1">
      <c r="A272" s="75"/>
      <c r="B272" s="87"/>
      <c r="C272" s="9" t="s">
        <v>62</v>
      </c>
      <c r="D272" s="16" t="s">
        <v>301</v>
      </c>
      <c r="E272" s="197" t="s">
        <v>249</v>
      </c>
      <c r="F272" s="39">
        <f>IF($E$253="No",0,(IF('FORM '!E272="yes",5,0)))</f>
        <v>5</v>
      </c>
      <c r="G272" s="39">
        <f>F272</f>
        <v>5</v>
      </c>
      <c r="H272" s="113"/>
      <c r="M272" s="97"/>
    </row>
    <row r="273" spans="1:13" s="74" customFormat="1" ht="14.25" customHeight="1">
      <c r="A273" s="75"/>
      <c r="B273" s="82"/>
      <c r="C273" s="10" t="s">
        <v>62</v>
      </c>
      <c r="D273" s="132" t="s">
        <v>209</v>
      </c>
      <c r="E273" s="197" t="s">
        <v>249</v>
      </c>
      <c r="F273" s="39">
        <f>IF($E$253="No",0,(IF('FORM '!E273="yes",5,0)))</f>
        <v>5</v>
      </c>
      <c r="G273" s="150">
        <f>F273</f>
        <v>5</v>
      </c>
      <c r="H273" s="111"/>
      <c r="M273" s="97"/>
    </row>
    <row r="274" spans="1:13" s="74" customFormat="1" ht="14.25" customHeight="1">
      <c r="A274" s="75"/>
      <c r="B274" s="84" t="s">
        <v>86</v>
      </c>
      <c r="C274" s="85"/>
      <c r="D274" s="85"/>
      <c r="E274" s="21"/>
      <c r="F274" s="41">
        <f>SUM(F253:F273)</f>
        <v>100</v>
      </c>
      <c r="G274" s="41">
        <f>SUM(G253:G273)</f>
        <v>100</v>
      </c>
      <c r="H274" s="112"/>
    </row>
    <row r="275" spans="1:13" s="74" customFormat="1" ht="14.25" customHeight="1">
      <c r="A275" s="75"/>
      <c r="B275" s="6"/>
      <c r="C275" s="5"/>
      <c r="D275" s="5"/>
      <c r="E275" s="26"/>
      <c r="F275" s="63"/>
      <c r="G275" s="63"/>
      <c r="H275" s="70"/>
    </row>
    <row r="276" spans="1:13" s="75" customFormat="1" ht="14.25" customHeight="1">
      <c r="B276" s="71" t="s">
        <v>126</v>
      </c>
      <c r="C276" s="72"/>
      <c r="D276" s="73"/>
      <c r="E276" s="19"/>
      <c r="F276" s="35"/>
      <c r="G276" s="35"/>
      <c r="H276" s="108"/>
      <c r="M276" s="105"/>
    </row>
    <row r="277" spans="1:13" s="75" customFormat="1" ht="14.25" customHeight="1">
      <c r="B277" s="103"/>
      <c r="C277" s="104"/>
      <c r="D277" s="104"/>
      <c r="E277" s="20" t="s">
        <v>188</v>
      </c>
      <c r="F277" s="36" t="s">
        <v>222</v>
      </c>
      <c r="G277" s="148" t="s">
        <v>87</v>
      </c>
      <c r="H277" s="76" t="s">
        <v>52</v>
      </c>
    </row>
    <row r="278" spans="1:13" s="74" customFormat="1" ht="14.25" customHeight="1">
      <c r="A278" s="75"/>
      <c r="B278" s="13">
        <v>1</v>
      </c>
      <c r="C278" s="241" t="s">
        <v>181</v>
      </c>
      <c r="D278" s="241"/>
      <c r="E278" s="197" t="s">
        <v>305</v>
      </c>
      <c r="F278" s="39">
        <f>IFERROR(VLOOKUP(E278,KPIs!$U$3:$V$7,2,FALSE),0)</f>
        <v>8</v>
      </c>
      <c r="G278" s="39">
        <f>F278</f>
        <v>8</v>
      </c>
      <c r="H278" s="116"/>
    </row>
    <row r="279" spans="1:13" s="74" customFormat="1" ht="14.25" customHeight="1">
      <c r="A279" s="75"/>
      <c r="B279" s="15">
        <v>2</v>
      </c>
      <c r="C279" s="214" t="s">
        <v>176</v>
      </c>
      <c r="D279" s="214" t="s">
        <v>4</v>
      </c>
      <c r="E279" s="197" t="s">
        <v>351</v>
      </c>
      <c r="F279" s="39">
        <f>IFERROR(VLOOKUP(E279,KPIs!$U$10:$V$14,2,FALSE),0)</f>
        <v>8</v>
      </c>
      <c r="G279" s="39">
        <f>F279</f>
        <v>8</v>
      </c>
      <c r="H279" s="116"/>
    </row>
    <row r="280" spans="1:13" s="74" customFormat="1" ht="14.25" customHeight="1">
      <c r="A280" s="75"/>
      <c r="B280" s="15">
        <v>3</v>
      </c>
      <c r="C280" s="214" t="s">
        <v>177</v>
      </c>
      <c r="D280" s="214"/>
      <c r="E280" s="197" t="s">
        <v>351</v>
      </c>
      <c r="F280" s="39">
        <f>IFERROR(VLOOKUP(E280,KPIs!$U$10:$V$14,2,FALSE),0)</f>
        <v>8</v>
      </c>
      <c r="G280" s="39">
        <f t="shared" ref="G280:G288" si="21">F280</f>
        <v>8</v>
      </c>
      <c r="H280" s="116"/>
    </row>
    <row r="281" spans="1:13" s="74" customFormat="1" ht="14.25" customHeight="1">
      <c r="A281" s="75"/>
      <c r="B281" s="15">
        <v>4</v>
      </c>
      <c r="C281" s="214" t="s">
        <v>5</v>
      </c>
      <c r="D281" s="214"/>
      <c r="E281" s="197" t="s">
        <v>299</v>
      </c>
      <c r="F281" s="39">
        <f>IFERROR(VLOOKUP(E281,KPIs!$U$18:$V$21,2,FALSE),0)</f>
        <v>9</v>
      </c>
      <c r="G281" s="39">
        <f t="shared" si="21"/>
        <v>9</v>
      </c>
      <c r="H281" s="116"/>
    </row>
    <row r="282" spans="1:13" s="74" customFormat="1" ht="14.25" customHeight="1">
      <c r="A282" s="75"/>
      <c r="B282" s="15">
        <v>5</v>
      </c>
      <c r="C282" s="214" t="s">
        <v>193</v>
      </c>
      <c r="D282" s="214"/>
      <c r="E282" s="197" t="s">
        <v>269</v>
      </c>
      <c r="F282" s="39">
        <f>IFERROR(VLOOKUP(E282,KPIs!$U$24:$V$26,2,FALSE),0)</f>
        <v>9</v>
      </c>
      <c r="G282" s="39">
        <f t="shared" si="21"/>
        <v>9</v>
      </c>
      <c r="H282" s="116"/>
    </row>
    <row r="283" spans="1:13" s="74" customFormat="1" ht="14.25" customHeight="1">
      <c r="A283" s="75"/>
      <c r="B283" s="15">
        <v>6</v>
      </c>
      <c r="C283" s="214" t="s">
        <v>152</v>
      </c>
      <c r="D283" s="214"/>
      <c r="E283" s="197" t="s">
        <v>299</v>
      </c>
      <c r="F283" s="39">
        <f>IFERROR(VLOOKUP(E283,KPIs!$U$18:$V$21,2,FALSE),0)</f>
        <v>9</v>
      </c>
      <c r="G283" s="39">
        <f t="shared" si="21"/>
        <v>9</v>
      </c>
      <c r="H283" s="116"/>
    </row>
    <row r="284" spans="1:13" s="74" customFormat="1" ht="14.25" customHeight="1">
      <c r="A284" s="75"/>
      <c r="B284" s="15">
        <v>7</v>
      </c>
      <c r="C284" s="214" t="s">
        <v>153</v>
      </c>
      <c r="D284" s="214"/>
      <c r="E284" s="197" t="s">
        <v>249</v>
      </c>
      <c r="F284" s="39">
        <f>IF(E284="Yes",9,0)</f>
        <v>9</v>
      </c>
      <c r="G284" s="39">
        <f t="shared" si="21"/>
        <v>9</v>
      </c>
      <c r="H284" s="116"/>
    </row>
    <row r="285" spans="1:13" s="74" customFormat="1" ht="14.25" customHeight="1">
      <c r="A285" s="75"/>
      <c r="B285" s="15">
        <v>8</v>
      </c>
      <c r="C285" s="214" t="s">
        <v>127</v>
      </c>
      <c r="D285" s="214"/>
      <c r="E285" s="197" t="s">
        <v>299</v>
      </c>
      <c r="F285" s="39">
        <f>IFERROR(VLOOKUP(E285,KPIs!$U$18:$V$21,2,FALSE),0)</f>
        <v>9</v>
      </c>
      <c r="G285" s="39">
        <f t="shared" si="21"/>
        <v>9</v>
      </c>
      <c r="H285" s="116"/>
    </row>
    <row r="286" spans="1:13" s="74" customFormat="1" ht="14.25" customHeight="1">
      <c r="A286" s="75"/>
      <c r="B286" s="15">
        <v>9</v>
      </c>
      <c r="C286" s="214" t="s">
        <v>128</v>
      </c>
      <c r="D286" s="214"/>
      <c r="E286" s="197" t="s">
        <v>299</v>
      </c>
      <c r="F286" s="39">
        <f>IFERROR(VLOOKUP(E286,KPIs!$U$18:$V$21,2,FALSE),0)</f>
        <v>9</v>
      </c>
      <c r="G286" s="39">
        <f t="shared" si="21"/>
        <v>9</v>
      </c>
      <c r="H286" s="116"/>
    </row>
    <row r="287" spans="1:13" s="74" customFormat="1" ht="14.25" customHeight="1">
      <c r="A287" s="75"/>
      <c r="B287" s="134">
        <v>10</v>
      </c>
      <c r="C287" s="135" t="s">
        <v>218</v>
      </c>
      <c r="D287" s="135"/>
      <c r="E287" s="197" t="s">
        <v>249</v>
      </c>
      <c r="F287" s="136">
        <f>IF(E288="Yes",9,0)</f>
        <v>9</v>
      </c>
      <c r="G287" s="39">
        <f t="shared" si="21"/>
        <v>9</v>
      </c>
      <c r="H287" s="137"/>
    </row>
    <row r="288" spans="1:13" s="74" customFormat="1" ht="14.25" customHeight="1">
      <c r="A288" s="75"/>
      <c r="B288" s="12">
        <v>11</v>
      </c>
      <c r="C288" s="239" t="s">
        <v>350</v>
      </c>
      <c r="D288" s="239"/>
      <c r="E288" s="197" t="s">
        <v>249</v>
      </c>
      <c r="F288" s="40">
        <f>IF(E288="Yes",9,0)</f>
        <v>9</v>
      </c>
      <c r="G288" s="39">
        <f t="shared" si="21"/>
        <v>9</v>
      </c>
      <c r="H288" s="117"/>
    </row>
    <row r="289" spans="1:8" s="74" customFormat="1" ht="14.25" customHeight="1">
      <c r="A289" s="75"/>
      <c r="B289" s="12">
        <v>12</v>
      </c>
      <c r="C289" s="239" t="s">
        <v>365</v>
      </c>
      <c r="D289" s="239"/>
      <c r="E289" s="197" t="s">
        <v>249</v>
      </c>
      <c r="F289" s="40">
        <f>IF(E289="Yes",4,0)</f>
        <v>4</v>
      </c>
      <c r="G289" s="40">
        <f>F289</f>
        <v>4</v>
      </c>
      <c r="H289" s="117"/>
    </row>
    <row r="290" spans="1:8" s="74" customFormat="1" ht="14.25" customHeight="1">
      <c r="A290" s="70"/>
      <c r="B290" s="84" t="s">
        <v>86</v>
      </c>
      <c r="C290" s="85"/>
      <c r="D290" s="85"/>
      <c r="E290" s="21"/>
      <c r="F290" s="41">
        <f>SUM(F278:F289)</f>
        <v>100</v>
      </c>
      <c r="G290" s="41">
        <f>SUM(G278:G289)</f>
        <v>100</v>
      </c>
      <c r="H290" s="112"/>
    </row>
    <row r="291" spans="1:8">
      <c r="A291" s="3"/>
      <c r="B291" s="7"/>
      <c r="C291" s="3"/>
      <c r="D291" s="3"/>
      <c r="E291" s="18"/>
      <c r="F291" s="66"/>
      <c r="G291" s="66"/>
      <c r="H291" s="3"/>
    </row>
    <row r="292" spans="1:8">
      <c r="A292" s="3"/>
      <c r="B292" s="3" t="s">
        <v>51</v>
      </c>
      <c r="C292" s="3"/>
      <c r="D292" s="3"/>
      <c r="E292" s="18"/>
      <c r="F292" s="66"/>
      <c r="G292" s="66"/>
      <c r="H292" s="3"/>
    </row>
    <row r="293" spans="1:8">
      <c r="A293" s="3"/>
      <c r="B293" s="7"/>
      <c r="C293" s="3"/>
      <c r="D293" s="3"/>
      <c r="E293" s="18"/>
      <c r="F293" s="66"/>
      <c r="G293" s="66"/>
      <c r="H293" s="3"/>
    </row>
    <row r="294" spans="1:8">
      <c r="A294" s="3"/>
      <c r="B294" s="7"/>
      <c r="C294" s="3"/>
      <c r="D294" s="3"/>
      <c r="E294" s="18"/>
      <c r="F294" s="66"/>
      <c r="G294" s="66"/>
      <c r="H294" s="3"/>
    </row>
    <row r="295" spans="1:8">
      <c r="A295" s="3"/>
      <c r="B295" s="7"/>
      <c r="C295" s="3"/>
      <c r="D295" s="3"/>
      <c r="E295" s="18"/>
      <c r="F295" s="66"/>
      <c r="G295" s="66"/>
      <c r="H295" s="3"/>
    </row>
    <row r="296" spans="1:8">
      <c r="A296" s="3"/>
      <c r="B296" s="7"/>
      <c r="C296" s="3"/>
      <c r="D296" s="3"/>
      <c r="E296" s="18"/>
      <c r="F296" s="66"/>
      <c r="G296" s="66"/>
      <c r="H296" s="3"/>
    </row>
    <row r="297" spans="1:8">
      <c r="A297" s="3"/>
      <c r="B297" s="7"/>
      <c r="C297" s="3"/>
      <c r="D297" s="3"/>
      <c r="E297" s="18"/>
      <c r="F297" s="66"/>
      <c r="G297" s="66"/>
      <c r="H297" s="3"/>
    </row>
    <row r="298" spans="1:8">
      <c r="A298" s="3"/>
      <c r="B298" s="7"/>
      <c r="C298" s="3"/>
      <c r="D298" s="3"/>
      <c r="E298" s="18"/>
      <c r="F298" s="66"/>
      <c r="G298" s="66"/>
      <c r="H298" s="3"/>
    </row>
    <row r="299" spans="1:8">
      <c r="A299" s="3"/>
      <c r="B299" s="7"/>
      <c r="C299" s="3"/>
      <c r="D299" s="3"/>
      <c r="E299" s="18"/>
      <c r="F299" s="66"/>
      <c r="G299" s="66"/>
      <c r="H299" s="3"/>
    </row>
    <row r="300" spans="1:8">
      <c r="A300" s="3"/>
      <c r="B300" s="6"/>
      <c r="C300" s="5"/>
      <c r="D300" s="5"/>
      <c r="E300" s="138"/>
      <c r="F300" s="63"/>
      <c r="G300" s="63"/>
      <c r="H300" s="3"/>
    </row>
    <row r="301" spans="1:8">
      <c r="B301" s="7"/>
      <c r="C301" s="3"/>
      <c r="D301" s="2"/>
      <c r="E301" s="18"/>
      <c r="F301" s="34"/>
      <c r="G301" s="34"/>
      <c r="H301" s="3"/>
    </row>
    <row r="302" spans="1:8">
      <c r="A302" s="3"/>
      <c r="B302" s="7"/>
      <c r="C302" s="3"/>
      <c r="D302" s="2"/>
      <c r="E302" s="18"/>
      <c r="F302" s="34"/>
      <c r="G302" s="34"/>
      <c r="H302" s="3"/>
    </row>
    <row r="303" spans="1:8" s="3" customFormat="1">
      <c r="E303" s="18"/>
      <c r="F303" s="34"/>
      <c r="G303" s="34"/>
    </row>
    <row r="304" spans="1:8" s="3" customFormat="1">
      <c r="E304" s="139"/>
      <c r="F304" s="57"/>
      <c r="G304" s="57"/>
    </row>
    <row r="305" spans="2:8" s="3" customFormat="1">
      <c r="E305" s="140" t="s">
        <v>156</v>
      </c>
      <c r="F305" s="58" t="s">
        <v>86</v>
      </c>
      <c r="G305" s="58"/>
      <c r="H305" s="141" t="s">
        <v>173</v>
      </c>
    </row>
    <row r="306" spans="2:8" s="3" customFormat="1">
      <c r="E306" s="142" t="s">
        <v>172</v>
      </c>
      <c r="F306" s="59">
        <f>'FORM '!F290</f>
        <v>100</v>
      </c>
      <c r="G306" s="59"/>
      <c r="H306" s="2">
        <v>100</v>
      </c>
    </row>
    <row r="307" spans="2:8" s="3" customFormat="1">
      <c r="E307" s="142" t="s">
        <v>158</v>
      </c>
      <c r="F307" s="59">
        <f>'FORM '!F31</f>
        <v>100</v>
      </c>
      <c r="G307" s="60"/>
      <c r="H307" s="2">
        <v>100</v>
      </c>
    </row>
    <row r="308" spans="2:8" s="3" customFormat="1">
      <c r="E308" s="142" t="s">
        <v>159</v>
      </c>
      <c r="F308" s="59">
        <f>'FORM '!F40</f>
        <v>100</v>
      </c>
      <c r="G308" s="60"/>
      <c r="H308" s="2">
        <v>100</v>
      </c>
    </row>
    <row r="309" spans="2:8" s="3" customFormat="1">
      <c r="E309" s="142" t="s">
        <v>160</v>
      </c>
      <c r="F309" s="59">
        <f>'FORM '!F57</f>
        <v>100</v>
      </c>
      <c r="G309" s="60"/>
      <c r="H309" s="2">
        <v>100</v>
      </c>
    </row>
    <row r="310" spans="2:8" s="3" customFormat="1">
      <c r="E310" s="142" t="s">
        <v>161</v>
      </c>
      <c r="F310" s="59">
        <f>F68</f>
        <v>100</v>
      </c>
      <c r="G310" s="60"/>
      <c r="H310" s="2">
        <v>100</v>
      </c>
    </row>
    <row r="311" spans="2:8" s="3" customFormat="1">
      <c r="E311" s="142" t="s">
        <v>174</v>
      </c>
      <c r="F311" s="59">
        <f>'FORM '!F84</f>
        <v>100</v>
      </c>
      <c r="G311" s="60"/>
      <c r="H311" s="2">
        <v>100</v>
      </c>
    </row>
    <row r="312" spans="2:8" s="3" customFormat="1">
      <c r="E312" s="142" t="s">
        <v>175</v>
      </c>
      <c r="F312" s="59">
        <f>'FORM '!F97</f>
        <v>100</v>
      </c>
      <c r="G312" s="60"/>
      <c r="H312" s="2">
        <v>100</v>
      </c>
    </row>
    <row r="313" spans="2:8" s="3" customFormat="1">
      <c r="E313" s="142" t="s">
        <v>162</v>
      </c>
      <c r="F313" s="59">
        <f>'FORM '!F104</f>
        <v>100</v>
      </c>
      <c r="G313" s="60"/>
      <c r="H313" s="2">
        <v>100</v>
      </c>
    </row>
    <row r="314" spans="2:8" s="3" customFormat="1">
      <c r="B314" s="7"/>
      <c r="E314" s="142" t="s">
        <v>163</v>
      </c>
      <c r="F314" s="59">
        <f>'FORM '!F119</f>
        <v>100</v>
      </c>
      <c r="G314" s="59"/>
      <c r="H314" s="2">
        <v>100</v>
      </c>
    </row>
    <row r="315" spans="2:8" s="3" customFormat="1">
      <c r="E315" s="142" t="s">
        <v>164</v>
      </c>
      <c r="F315" s="59">
        <f>'FORM '!F151</f>
        <v>100</v>
      </c>
      <c r="G315" s="59"/>
      <c r="H315" s="2">
        <v>100</v>
      </c>
    </row>
    <row r="316" spans="2:8" s="3" customFormat="1">
      <c r="B316" s="7"/>
      <c r="E316" s="142" t="s">
        <v>165</v>
      </c>
      <c r="F316" s="59">
        <f>'FORM '!F174</f>
        <v>100</v>
      </c>
      <c r="G316" s="59"/>
      <c r="H316" s="2">
        <v>100</v>
      </c>
    </row>
    <row r="317" spans="2:8" s="3" customFormat="1">
      <c r="B317" s="7"/>
      <c r="E317" s="142" t="s">
        <v>166</v>
      </c>
      <c r="F317" s="59">
        <f>'FORM '!F193</f>
        <v>100</v>
      </c>
      <c r="G317" s="59"/>
      <c r="H317" s="2">
        <v>100</v>
      </c>
    </row>
    <row r="318" spans="2:8" s="3" customFormat="1">
      <c r="B318" s="7"/>
      <c r="E318" s="142" t="s">
        <v>167</v>
      </c>
      <c r="F318" s="59">
        <f>'FORM '!F209</f>
        <v>100</v>
      </c>
      <c r="G318" s="59"/>
      <c r="H318" s="2">
        <v>100</v>
      </c>
    </row>
    <row r="319" spans="2:8" s="3" customFormat="1">
      <c r="B319" s="7"/>
      <c r="E319" s="142" t="s">
        <v>168</v>
      </c>
      <c r="F319" s="59">
        <f>'FORM '!F216</f>
        <v>100</v>
      </c>
      <c r="G319" s="59"/>
      <c r="H319" s="2">
        <v>100</v>
      </c>
    </row>
    <row r="320" spans="2:8" s="3" customFormat="1">
      <c r="B320" s="7"/>
      <c r="E320" s="142" t="s">
        <v>169</v>
      </c>
      <c r="F320" s="59">
        <f>'FORM '!F225</f>
        <v>100</v>
      </c>
      <c r="G320" s="59"/>
      <c r="H320" s="2">
        <v>100</v>
      </c>
    </row>
    <row r="321" spans="2:8" s="3" customFormat="1">
      <c r="B321" s="7"/>
      <c r="E321" s="142" t="s">
        <v>170</v>
      </c>
      <c r="F321" s="59">
        <f>'FORM '!F250</f>
        <v>100</v>
      </c>
      <c r="G321" s="59"/>
      <c r="H321" s="2">
        <v>100</v>
      </c>
    </row>
    <row r="322" spans="2:8" s="3" customFormat="1">
      <c r="B322" s="7"/>
      <c r="E322" s="142" t="s">
        <v>171</v>
      </c>
      <c r="F322" s="59">
        <f>'FORM '!F274</f>
        <v>100</v>
      </c>
      <c r="G322" s="59"/>
      <c r="H322" s="2">
        <v>100</v>
      </c>
    </row>
    <row r="323" spans="2:8" s="3" customFormat="1">
      <c r="B323" s="7"/>
      <c r="E323" s="143"/>
      <c r="F323" s="61"/>
      <c r="G323" s="61"/>
    </row>
    <row r="324" spans="2:8" s="3" customFormat="1">
      <c r="B324" s="7"/>
      <c r="E324" s="143"/>
      <c r="F324" s="61"/>
      <c r="G324" s="61"/>
    </row>
    <row r="325" spans="2:8" s="3" customFormat="1">
      <c r="B325" s="7"/>
      <c r="E325" s="139"/>
      <c r="F325" s="57"/>
      <c r="G325" s="57"/>
    </row>
    <row r="326" spans="2:8" s="3" customFormat="1">
      <c r="B326" s="7"/>
      <c r="E326" s="139"/>
      <c r="F326" s="57"/>
      <c r="G326" s="57"/>
    </row>
    <row r="327" spans="2:8" s="3" customFormat="1">
      <c r="B327" s="7"/>
      <c r="E327" s="139"/>
      <c r="F327" s="57"/>
      <c r="G327" s="57"/>
    </row>
    <row r="328" spans="2:8" s="3" customFormat="1">
      <c r="B328" s="7"/>
      <c r="E328" s="139"/>
      <c r="F328" s="57"/>
      <c r="G328" s="57"/>
    </row>
    <row r="329" spans="2:8" s="3" customFormat="1">
      <c r="B329" s="7"/>
      <c r="E329" s="139"/>
      <c r="F329" s="57"/>
      <c r="G329" s="57"/>
    </row>
    <row r="330" spans="2:8" s="3" customFormat="1">
      <c r="B330" s="7"/>
      <c r="E330" s="139"/>
      <c r="F330" s="57"/>
      <c r="G330" s="57"/>
    </row>
    <row r="331" spans="2:8" s="3" customFormat="1">
      <c r="B331" s="7"/>
      <c r="D331" s="2"/>
      <c r="E331" s="18"/>
      <c r="F331" s="34"/>
      <c r="G331" s="34"/>
    </row>
    <row r="332" spans="2:8" s="3" customFormat="1">
      <c r="B332" s="7"/>
      <c r="D332" s="2"/>
      <c r="E332" s="18"/>
      <c r="F332" s="34"/>
      <c r="G332" s="34"/>
    </row>
    <row r="333" spans="2:8" s="3" customFormat="1">
      <c r="B333" s="7"/>
      <c r="D333" s="2"/>
      <c r="E333" s="18"/>
      <c r="F333" s="34"/>
      <c r="G333" s="34"/>
    </row>
  </sheetData>
  <sheetProtection algorithmName="SHA-512" hashValue="CtCTPc/xk3uETabHXw2m6OWopFJXIIQsbCJzVmvNCTgF/OiF2CM8tDmBHW28wlG8xeTT8gFvrKY+xuxEGM+efg==" saltValue="qpjgnXVmnFglvQaGIAPIew==" spinCount="100000" sheet="1" selectLockedCells="1"/>
  <protectedRanges>
    <protectedRange sqref="D5:E7 E8:E12 D4:E4" name="Basic Info"/>
    <protectedRange sqref="A5:C8 E305:E322 H305:H322 H86:XFD86 H99:XFD99 H107:XFD107 H122:XFD122 H154:XFD154 H176:XFD176 H195:XFD195 A302:B327 A292:A300 B292:B301 H232 F5:F30 G5:G19 G21:G27 F5:H13 E77:XFD77 E22:H22 H70:XFD70 H59 H42 A1:H3 B35:H35 B85:XFD85 B97:XFD98 B105:XFD106 B120:XFD121 B130:XFD130 B136:XFD136 B152:XFD153 B165:F165 B175:XFD175 F324:G1048576 E197:XFD197 E89:XFD89 E69:H69 E58:H58 E46:H46 E41:H41 E27:H27 E13:XFD15 D13:D21 C20:C21 G29:G32 F33:H33 B13:C18 A10:C10 E183 E185 E186:F186 C181 B191:D192 C182:D190 C193:D327 I108:XFD108 H146 A290:B291 E31:H32 H165:XFD165 F187:F192 F180:F185 G180:G192 N35:XFD35 N68:XFD69 N57:XFD59 N46:XFD46 N40:XFD42 N31:XFD33 B193:B289 C22:D109 C113:D180 C110:C111 B113:B190 A13:A289 B19:B109 B112:C112 F194:G304 B193:XFD194 B174:F174 H174:XFD174 B151:F151 H151:XFD151 B119:F119 H119:XFD119 B104:F104 H104:XFD104 B84:F84 H84:XFD84 F78:G179 E68:F68 H68 E57:F57 H57 E40:F40 H40 F34:G76 F4:H4 G1:G4 F1:F4 A4:C4" name="Range2"/>
  </protectedRanges>
  <dataConsolidate/>
  <mergeCells count="97">
    <mergeCell ref="C289:D289"/>
    <mergeCell ref="C230:D230"/>
    <mergeCell ref="C155:D155"/>
    <mergeCell ref="C157:D157"/>
    <mergeCell ref="C215:D215"/>
    <mergeCell ref="C162:D162"/>
    <mergeCell ref="C163:D163"/>
    <mergeCell ref="C158:D158"/>
    <mergeCell ref="C156:D156"/>
    <mergeCell ref="C212:D212"/>
    <mergeCell ref="C213:D213"/>
    <mergeCell ref="C214:D214"/>
    <mergeCell ref="C177:D177"/>
    <mergeCell ref="C197:D197"/>
    <mergeCell ref="C199:D199"/>
    <mergeCell ref="B59:D59"/>
    <mergeCell ref="C60:D60"/>
    <mergeCell ref="C161:D161"/>
    <mergeCell ref="C108:D108"/>
    <mergeCell ref="C164:D164"/>
    <mergeCell ref="C113:D113"/>
    <mergeCell ref="C114:D114"/>
    <mergeCell ref="C115:D115"/>
    <mergeCell ref="C144:D144"/>
    <mergeCell ref="C126:D126"/>
    <mergeCell ref="C125:D125"/>
    <mergeCell ref="C127:D127"/>
    <mergeCell ref="C124:D124"/>
    <mergeCell ref="C181:D181"/>
    <mergeCell ref="C73:D73"/>
    <mergeCell ref="C75:D75"/>
    <mergeCell ref="C76:D76"/>
    <mergeCell ref="C178:D178"/>
    <mergeCell ref="C180:D180"/>
    <mergeCell ref="C87:D87"/>
    <mergeCell ref="C89:D89"/>
    <mergeCell ref="C102:D102"/>
    <mergeCell ref="C103:D103"/>
    <mergeCell ref="C88:D88"/>
    <mergeCell ref="C100:D100"/>
    <mergeCell ref="A1:H2"/>
    <mergeCell ref="B70:D70"/>
    <mergeCell ref="C61:D61"/>
    <mergeCell ref="C62:D62"/>
    <mergeCell ref="G28:G30"/>
    <mergeCell ref="F23:F26"/>
    <mergeCell ref="G23:G26"/>
    <mergeCell ref="F28:F30"/>
    <mergeCell ref="C34:D34"/>
    <mergeCell ref="A8:C8"/>
    <mergeCell ref="D8:E8"/>
    <mergeCell ref="B17:D17"/>
    <mergeCell ref="A6:C6"/>
    <mergeCell ref="D6:E6"/>
    <mergeCell ref="A4:C4"/>
    <mergeCell ref="C288:D288"/>
    <mergeCell ref="C283:D283"/>
    <mergeCell ref="C253:D253"/>
    <mergeCell ref="C278:D278"/>
    <mergeCell ref="C279:D279"/>
    <mergeCell ref="C254:D254"/>
    <mergeCell ref="C255:D255"/>
    <mergeCell ref="C282:D282"/>
    <mergeCell ref="C286:D286"/>
    <mergeCell ref="C285:D285"/>
    <mergeCell ref="C284:D284"/>
    <mergeCell ref="C281:D281"/>
    <mergeCell ref="C280:D280"/>
    <mergeCell ref="D4:E4"/>
    <mergeCell ref="A5:C5"/>
    <mergeCell ref="D5:E5"/>
    <mergeCell ref="B19:D19"/>
    <mergeCell ref="A10:C10"/>
    <mergeCell ref="A14:H14"/>
    <mergeCell ref="F20:F21"/>
    <mergeCell ref="G20:G21"/>
    <mergeCell ref="C46:D46"/>
    <mergeCell ref="C45:D45"/>
    <mergeCell ref="C63:D63"/>
    <mergeCell ref="B42:D42"/>
    <mergeCell ref="B33:D33"/>
    <mergeCell ref="C160:D160"/>
    <mergeCell ref="C96:D96"/>
    <mergeCell ref="F111:F112"/>
    <mergeCell ref="G111:G112"/>
    <mergeCell ref="C43:D43"/>
    <mergeCell ref="C44:D44"/>
    <mergeCell ref="C64:D64"/>
    <mergeCell ref="C65:D65"/>
    <mergeCell ref="C66:D66"/>
    <mergeCell ref="C123:D123"/>
    <mergeCell ref="C159:D159"/>
    <mergeCell ref="C101:D101"/>
    <mergeCell ref="C67:D67"/>
    <mergeCell ref="C71:D71"/>
    <mergeCell ref="C77:D77"/>
    <mergeCell ref="C72:D72"/>
  </mergeCells>
  <dataValidations xWindow="723" yWindow="611" count="112">
    <dataValidation type="list" allowBlank="1" showInputMessage="1" showErrorMessage="1" prompt="Refers CG code Chapter 2, article 7 and Chapter 2, article 12(11)" sqref="E62" xr:uid="{00000000-0002-0000-0000-000002000000}">
      <formula1>"Maintained and Shared with PCB,Maintained and Not Shared with PCB,Not Maintained"</formula1>
    </dataValidation>
    <dataValidation type="list" allowBlank="1" showInputMessage="1" showErrorMessage="1" prompt="Refers CG code Chapter 2, 7" sqref="E61" xr:uid="{00000000-0002-0000-0000-000003000000}">
      <formula1>"Audio and in writing,Audio only,In Writing (with Signatures),In writing (No Signature),Not maintained"</formula1>
    </dataValidation>
    <dataValidation type="list" allowBlank="1" showInputMessage="1" showErrorMessage="1" prompt="Refers CG code Chapter 2, Article 8(6) and article 3 - 2 (J &amp; K)" sqref="E75" xr:uid="{00000000-0002-0000-0000-000004000000}">
      <formula1>"All Directors have completed, Majority completed, Few completed, No Records "</formula1>
    </dataValidation>
    <dataValidation type="list" allowBlank="1" showInputMessage="1" showErrorMessage="1" prompt="Refers CG code Chapter 2, 8(6)" sqref="E76" xr:uid="{00000000-0002-0000-0000-000007000000}">
      <formula1>"Monthly, Quarterly, Bi-annually, Annually, None"</formula1>
    </dataValidation>
    <dataValidation type="list" allowBlank="1" showInputMessage="1" showErrorMessage="1" prompt="Highly Recommended for compliance " sqref="E72" xr:uid="{00000000-0002-0000-0000-000008000000}">
      <formula1>"Completed, Not Completed "</formula1>
    </dataValidation>
    <dataValidation type="list" allowBlank="1" showInputMessage="1" showErrorMessage="1" prompt="Refers CG code Chapter 2, 8(1,2,3 &amp; 4)" sqref="E73" xr:uid="{00000000-0002-0000-0000-000009000000}">
      <formula1>"All Directors have completed,Majority completed,Few completed,No induction program"</formula1>
    </dataValidation>
    <dataValidation type="list" allowBlank="1" showInputMessage="1" showErrorMessage="1" prompt="Refers CG code Chapter 6" sqref="E177" xr:uid="{00000000-0002-0000-0000-00000A000000}">
      <formula1>"Established and Functioning,Established but not functioning,Not yet established"</formula1>
    </dataValidation>
    <dataValidation type="list" allowBlank="1" showInputMessage="1" showErrorMessage="1" prompt="Refers CG code Chapter 2, 5(2)" sqref="E67" xr:uid="{00000000-0002-0000-0000-00000C000000}">
      <formula1>"Monthly,Quarterly,Bi-annually,Annually,None "</formula1>
    </dataValidation>
    <dataValidation type="list" allowBlank="1" showInputMessage="1" showErrorMessage="1" prompt="Refers CG code Chapter 2, 7" sqref="E66" xr:uid="{00000000-0002-0000-0000-00000D000000}">
      <formula1>"Weekly,Monthly,Quarterly,Bi-annually,Annually,Other"</formula1>
    </dataValidation>
    <dataValidation type="list" allowBlank="1" showInputMessage="1" showErrorMessage="1" prompt="Refers CG code Chapter 2, 7" sqref="E65" xr:uid="{00000000-0002-0000-0000-00000E000000}">
      <formula1>"Always,Often,Documents not shared"</formula1>
    </dataValidation>
    <dataValidation type="list" allowBlank="1" showInputMessage="1" showErrorMessage="1" prompt="Refers CG code Chapter 2, 7" sqref="E64" xr:uid="{00000000-0002-0000-0000-00000F000000}">
      <formula1>"3 days in advance,2 days in advance,Same day,Not Shared"</formula1>
    </dataValidation>
    <dataValidation type="list" allowBlank="1" showInputMessage="1" showErrorMessage="1" prompt="Refers CG code Chapter 2, 3-2(a)" sqref="E63" xr:uid="{00000000-0002-0000-0000-000010000000}">
      <formula1>"Chairman only, Chairman and CS, MD and CS, MD/CEO, All together"</formula1>
    </dataValidation>
    <dataValidation type="list" allowBlank="1" showInputMessage="1" showErrorMessage="1" prompt="Refers CG code Chapter 2, 7" sqref="E60" xr:uid="{00000000-0002-0000-0000-000011000000}">
      <formula1>"Have, Not have "</formula1>
    </dataValidation>
    <dataValidation type="list" allowBlank="1" showInputMessage="1" showErrorMessage="1" prompt="Refers CG code Chapter 2, 10 (5)" sqref="E87" xr:uid="{00000000-0002-0000-0000-000012000000}">
      <formula1>"Maintained and Shared with PCB, Maintained but not shared with PCB, Not Maintained"</formula1>
    </dataValidation>
    <dataValidation type="list" allowBlank="1" showInputMessage="1" showErrorMessage="1" sqref="E284 E88 E219 E287:E289" xr:uid="{00000000-0002-0000-0000-000014000000}">
      <formula1>"Yes, No"</formula1>
    </dataValidation>
    <dataValidation type="list" allowBlank="1" showInputMessage="1" showErrorMessage="1" prompt="Refers CG code Chapter 3" sqref="E164" xr:uid="{00000000-0002-0000-0000-000016000000}">
      <formula1>"Formulated and endorsed, Formulated but not endorsed, Not Formulated "</formula1>
    </dataValidation>
    <dataValidation type="list" allowBlank="1" showInputMessage="1" showErrorMessage="1" sqref="E46" xr:uid="{00000000-0002-0000-0000-000018000000}">
      <formula1>"Fully Covers, Partially Covers, Written Separately, Not Sure "</formula1>
    </dataValidation>
    <dataValidation type="list" allowBlank="1" showInputMessage="1" showErrorMessage="1" prompt="Refers CG code Chapter 3" sqref="E160" xr:uid="{00000000-0002-0000-0000-000019000000}">
      <formula1>"Yes,No"</formula1>
    </dataValidation>
    <dataValidation type="list" allowBlank="1" showInputMessage="1" showErrorMessage="1" prompt="Points will only be earned if last year's AGM was Held /_x000a_Refers CG code Chapter 5" sqref="E127" xr:uid="{00000000-0002-0000-0000-00001B000000}">
      <formula1>"14 days and more, less than 14 days"</formula1>
    </dataValidation>
    <dataValidation type="list" allowBlank="1" showInputMessage="1" showErrorMessage="1" prompt="Refers CG code Chapter 3 (13,14 and 16)" sqref="E109" xr:uid="{00000000-0002-0000-0000-00001D000000}">
      <formula1>"Obtained, Not obtained, Some obtained, Submitted for approval"</formula1>
    </dataValidation>
    <dataValidation type="list" allowBlank="1" showInputMessage="1" showErrorMessage="1" prompt="Refers CG code Chapter 3 (13,14 and 16)" sqref="E117" xr:uid="{00000000-0002-0000-0000-00001E000000}">
      <formula1>"All the reports and findings, Some reports, Not shared"</formula1>
    </dataValidation>
    <dataValidation type="list" allowBlank="1" showInputMessage="1" showErrorMessage="1" prompt="Refers CG code Chapter 3 (13,14 and 16)" sqref="E114" xr:uid="{00000000-0002-0000-0000-00001F000000}">
      <formula1>"Have at least 3 members, Less than 3"</formula1>
    </dataValidation>
    <dataValidation type="list" allowBlank="1" showInputMessage="1" showErrorMessage="1" prompt="Refers CG code Chapter 6" sqref="E220" xr:uid="{00000000-0002-0000-0000-000022000000}">
      <formula1>"Yes, No, Does not Have Code of Ethics"</formula1>
    </dataValidation>
    <dataValidation type="list" allowBlank="1" showInputMessage="1" showErrorMessage="1" prompt="Refers CG code Chapter 6" sqref="E221" xr:uid="{00000000-0002-0000-0000-000023000000}">
      <formula1>"Yes, No, Does not Have Code of Conducts"</formula1>
    </dataValidation>
    <dataValidation type="list" allowBlank="1" showInputMessage="1" showErrorMessage="1" prompt="Refers CG Code Chapter 2 - BOD's Fiduciary Responsibilities " sqref="E280" xr:uid="{00000000-0002-0000-0000-000029000000}">
      <formula1>"75% above Implemented,  50% above Implemented, 50% less Implemented, Written but not endorsed, Does not have "</formula1>
    </dataValidation>
    <dataValidation type="whole" operator="greaterThan" allowBlank="1" showInputMessage="1" showErrorMessage="1" prompt="Write a whole number" sqref="E18:E19" xr:uid="{00000000-0002-0000-0000-00002B000000}">
      <formula1>4</formula1>
    </dataValidation>
    <dataValidation type="list" allowBlank="1" showInputMessage="1" showErrorMessage="1" prompt="As per the Circular 454/CIR/2019/5" sqref="E34" xr:uid="{00000000-0002-0000-0000-000032000000}">
      <formula1>"Maintained and Shared with PCB, Maintained but not shared with PCB, Not Maintained"</formula1>
    </dataValidation>
    <dataValidation type="list" allowBlank="1" showInputMessage="1" showErrorMessage="1" prompt="Points will only be earned if there is an Audit Charter or a TOR /_x000a_Refers CG code Chapter 3, 13(1)" sqref="E172 E167:E170" xr:uid="{00000000-0002-0000-0000-000035000000}">
      <formula1>"Yes, No"</formula1>
    </dataValidation>
    <dataValidation type="list" allowBlank="1" showInputMessage="1" showErrorMessage="1" prompt="Points will only be earned if the annual report for the last financial year was prepared. /_x000a_Refers CG code Chapter 8" sqref="E231:E249" xr:uid="{00000000-0002-0000-0000-000038000000}">
      <formula1>"Yes, No"</formula1>
    </dataValidation>
    <dataValidation type="list" allowBlank="1" showInputMessage="1" showErrorMessage="1" prompt="Points will only be earned if the company has a website. /_x000a_Refers CG code Chapter 8, 35" sqref="E257:E271" xr:uid="{00000000-0002-0000-0000-000039000000}">
      <formula1>"Yes, No"</formula1>
    </dataValidation>
    <dataValidation type="list" allowBlank="1" showInputMessage="1" showErrorMessage="1" prompt="Points will only be earned if board member(s) have completed the induction program. / _x000a_Refers CG code Chapter 2, 8(1,2,3 &amp; 4)" sqref="E79:E83" xr:uid="{00000000-0002-0000-0000-00003B000000}">
      <formula1>"Yes, No"</formula1>
    </dataValidation>
    <dataValidation type="whole" allowBlank="1" showInputMessage="1" showErrorMessage="1" prompt="Write a Whole number/Points will only be earned if 1/2 of the board consists of non-executive members /  / _x000a_Refers CG code Chapter 2 (1)" sqref="E25" xr:uid="{00000000-0002-0000-0000-00003E000000}">
      <formula1>0</formula1>
      <formula2>100</formula2>
    </dataValidation>
    <dataValidation type="list" allowBlank="1" showInputMessage="1" showErrorMessage="1" prompt="Points will only be earned if the last year's AGM was Held /_x000a_As per the Circular regarding Group Governance Reporting by PCB" sqref="E273" xr:uid="{00000000-0002-0000-0000-00003F000000}">
      <formula1>"Yes, No, NA"</formula1>
    </dataValidation>
    <dataValidation type="list" allowBlank="1" showInputMessage="1" showErrorMessage="1" prompt="Mandatory to declare decision on dividend / Points will only be earned if last year's AGM was Held / _x000a_Refers CG code Chapter 5, 18-(5)" sqref="E137" xr:uid="{00000000-0002-0000-0000-000040000000}">
      <formula1>"Yes, No"</formula1>
    </dataValidation>
    <dataValidation type="whole" allowBlank="1" showInputMessage="1" showErrorMessage="1" prompt="Write a Whole number/To earn points, at least one female member must be present / _x000a_Refers CG code Chapter 2 (Revision made on December 2023) " sqref="E28:E29" xr:uid="{00000000-0002-0000-0000-000041000000}">
      <formula1>0</formula1>
      <formula2>100</formula2>
    </dataValidation>
    <dataValidation type="list" allowBlank="1" showInputMessage="1" showErrorMessage="1" prompt="Will earn the full 100 points if there are no board committees other than the Audit Committee / _x000a_Refers CG code Chapter 3 (13,14 and 16)" sqref="E108" xr:uid="{00000000-0002-0000-0000-000042000000}">
      <formula1>"Yes,No"</formula1>
    </dataValidation>
    <dataValidation type="whole" operator="greaterThanOrEqual" allowBlank="1" showInputMessage="1" showErrorMessage="1" prompt="_x000a_Write a whole number /_x000a_Refers CG code Chapter 3" sqref="E163" xr:uid="{00000000-0002-0000-0000-000043000000}">
      <formula1>0</formula1>
    </dataValidation>
    <dataValidation type="list" operator="greaterThanOrEqual" allowBlank="1" showInputMessage="1" showErrorMessage="1" prompt="Month-Day-Year / Annual evaluation is compulsory / _x000a_Refers CG code Chapter 2, 11 / _x000a_As per the Circular 454/CIR/2019/5." sqref="E102" xr:uid="{00000000-0002-0000-0000-000044000000}">
      <formula1>"2021,2022,2023,2023,2024,2025,2026,2027,2028,2029,2030,2031,2032"</formula1>
    </dataValidation>
    <dataValidation type="list" allowBlank="1" showInputMessage="1" showErrorMessage="1" prompt="Mandatory to include in the agenda if there is any new plan related to Resource allocation or mobilization / Points will only be earned if last year's AGM was Held / _x000a_Refers CG code Chapter 5, 18-5" sqref="E138" xr:uid="{00000000-0002-0000-0000-000045000000}">
      <formula1>"Yes, No, Does not have a plan"</formula1>
    </dataValidation>
    <dataValidation type="list" allowBlank="1" showInputMessage="1" showErrorMessage="1" prompt="Points will only be earned if last year's AGM was Held / _x000a_Refers CG code Chapter 5, 18-5(C). " sqref="E140" xr:uid="{00000000-0002-0000-0000-000046000000}">
      <formula1>"Yes, No, No such material transaction"</formula1>
    </dataValidation>
    <dataValidation type="list" allowBlank="1" showInputMessage="1" showErrorMessage="1" prompt="Points will only be earned if last year's AGM was Held / _x000a_Refers CG code Chapter 5, 18-5" sqref="E141" xr:uid="{00000000-0002-0000-0000-000047000000}">
      <formula1>"Yes, No, No revision"</formula1>
    </dataValidation>
    <dataValidation type="list" allowBlank="1" showInputMessage="1" showErrorMessage="1" prompt="Points will only be earned if last year's AGM was Held / _x000a_Refers CG code Chapter 5, 18-5" sqref="E142" xr:uid="{00000000-0002-0000-0000-000048000000}">
      <formula1>"Yes, No, No such adoption"</formula1>
    </dataValidation>
    <dataValidation type="list" allowBlank="1" showInputMessage="1" showErrorMessage="1" prompt="Points will only be earned if last year's AGM was Held / _x000a_Refers CG code Chapter 5, 22" sqref="E149" xr:uid="{00000000-0002-0000-0000-00004B000000}">
      <formula1>"Yes, No, No new investment"</formula1>
    </dataValidation>
    <dataValidation type="list" allowBlank="1" showInputMessage="1" showErrorMessage="1" prompt="Points will only be earned if last year's AGM was Held / _x000a_Refers CG code Chapter 5, 22" sqref="E150" xr:uid="{00000000-0002-0000-0000-00004C000000}">
      <formula1>"Yes, No, No incentives"</formula1>
    </dataValidation>
    <dataValidation type="list" allowBlank="1" showInputMessage="1" showErrorMessage="1" prompt="Points will only be earned if last year's AGM was Held / _x000a_Refers CG code Chapter 5" sqref="E129" xr:uid="{00000000-0002-0000-0000-00004D000000}">
      <formula1>"Yes, No"</formula1>
    </dataValidation>
    <dataValidation type="list" allowBlank="1" showInputMessage="1" showErrorMessage="1" prompt="AOA should align with the Law No. 3/2013 (Privatization, Corporatization, Monitoring, and Evaluation of Government Businesses Act) as well as CG code for SOEs and the MODEL AOA" sqref="E43" xr:uid="{00000000-0002-0000-0000-000050000000}">
      <formula1>"Yes,No"</formula1>
    </dataValidation>
    <dataValidation type="list" allowBlank="1" showInputMessage="1" showErrorMessage="1" prompt="Mandatory to include in the agenda if there a new plan related to Employment and Procurement / Points will only be earned if last year's AGM was Held /_x000a_Refers CG code Chapter 5, 18-5" sqref="E139" xr:uid="{00000000-0002-0000-0000-000052000000}">
      <formula1>"Yes, No, Does not have a plan"</formula1>
    </dataValidation>
    <dataValidation type="list" allowBlank="1" showInputMessage="1" showErrorMessage="1" prompt="Points will only be earned if last year's AGM was Held / _x000a_Refers CG code Chapter 5, 18-6" sqref="E143" xr:uid="{00000000-0002-0000-0000-000053000000}">
      <formula1>"Yes, No"</formula1>
    </dataValidation>
    <dataValidation type="list" allowBlank="1" showInputMessage="1" showErrorMessage="1" prompt="Points will only be earned if last year's AGM was Held / _x000a_Refers CG code Chapter 5, 18-(5)" sqref="E131:E135" xr:uid="{00000000-0002-0000-0000-000055000000}">
      <formula1>"Yes, No"</formula1>
    </dataValidation>
    <dataValidation type="list" allowBlank="1" showInputMessage="1" showErrorMessage="1" prompt="Refers CG code Chapter 3 (13,14 and 16)" sqref="E118 E111 E113" xr:uid="{00000000-0002-0000-0000-000056000000}">
      <formula1>"Yes,No"</formula1>
    </dataValidation>
    <dataValidation type="list" allowBlank="1" showInputMessage="1" showErrorMessage="1" prompt="Refers CG code Chapter 3 (13,14 and 16)" sqref="E115:E116" xr:uid="{00000000-0002-0000-0000-000057000000}">
      <formula1>"Minimum quarterly 1, biannually, Annually, None"</formula1>
    </dataValidation>
    <dataValidation type="list" allowBlank="1" showInputMessage="1" showErrorMessage="1" prompt="Refers CG code Chapter 3 (13,14 and 16)_x000a_" sqref="E110" xr:uid="{00000000-0002-0000-0000-000058000000}">
      <formula1>"Yes,No"</formula1>
    </dataValidation>
    <dataValidation type="whole" allowBlank="1" showInputMessage="1" showErrorMessage="1" prompt="Write a Whole number/Points will only be earned if 1/2 of the board consists of non-executive members / _x000a_Refers CG code Chapter 2 (1)" sqref="E24" xr:uid="{00000000-0002-0000-0000-000059000000}">
      <formula1>0</formula1>
      <formula2>100</formula2>
    </dataValidation>
    <dataValidation type="list" allowBlank="1" showInputMessage="1" showErrorMessage="1" prompt="Refers CG code Chapter 2, 3" sqref="E47" xr:uid="{00000000-0002-0000-0000-00005A000000}">
      <formula1>"Fully Covers, Written Separately and covers, Partially Covers, Not Sure "</formula1>
    </dataValidation>
    <dataValidation type="list" allowBlank="1" showInputMessage="1" showErrorMessage="1" prompt="Refers CG code Chapter 2, 8(5)" sqref="E71 E96" xr:uid="{00000000-0002-0000-0000-000060000000}">
      <formula1>"All Directors have completed,Majority completed,Few completed,No Records "</formula1>
    </dataValidation>
    <dataValidation type="list" allowBlank="1" showInputMessage="1" showErrorMessage="1" prompt="Points will only be earned if board member(s) have completed the induction program. / _x000a_Refers CG code Chapter 2, 8(1,2,3 &amp; 4) " sqref="E78" xr:uid="{00000000-0002-0000-0000-000061000000}">
      <formula1>"Yes, No"</formula1>
    </dataValidation>
    <dataValidation type="list" allowBlank="1" showInputMessage="1" showErrorMessage="1" prompt="Points will only be earned if business have register of interest / As per the Circular 454/CIR/2019/5" sqref="E90" xr:uid="{00000000-0002-0000-0000-000062000000}">
      <formula1>"Yes, No"</formula1>
    </dataValidation>
    <dataValidation type="list" allowBlank="1" showInputMessage="1" showErrorMessage="1" prompt="Points will only be earned if business have register of interest / _x000a_As per the Circular 454/CIR/2019/5" sqref="E91:E92" xr:uid="{00000000-0002-0000-0000-000063000000}">
      <formula1>"Yes, No"</formula1>
    </dataValidation>
    <dataValidation type="list" allowBlank="1" showInputMessage="1" showErrorMessage="1" prompt="Points will only be earned if business have register of interest  / _x000a_As per Director's Code of Conduct by PCB" sqref="E93" xr:uid="{00000000-0002-0000-0000-000064000000}">
      <formula1>"Yes, No"</formula1>
    </dataValidation>
    <dataValidation type="list" allowBlank="1" showInputMessage="1" showErrorMessage="1" prompt="Points will only be earned if business have register of interest  / _x000a_As per Procurement Guidelines by PCB " sqref="E94" xr:uid="{00000000-0002-0000-0000-000065000000}">
      <formula1>"Yes, No"</formula1>
    </dataValidation>
    <dataValidation type="list" allowBlank="1" showInputMessage="1" showErrorMessage="1" prompt="Points will only be earned if business have register of interest /_x000a_As per Procurement guidelines by PCB " sqref="E95" xr:uid="{00000000-0002-0000-0000-000066000000}">
      <formula1>"Yes, No"</formula1>
    </dataValidation>
    <dataValidation type="list" allowBlank="1" showInputMessage="1" showErrorMessage="1" prompt="Refers CG code Chapter 2, 11" sqref="E100" xr:uid="{00000000-0002-0000-0000-000067000000}">
      <formula1>"Endorsed and Executed, Endorsed but not yet Executed, Written but not endorsed, Does not have "</formula1>
    </dataValidation>
    <dataValidation type="list" allowBlank="1" showInputMessage="1" showErrorMessage="1" prompt="Refers CG code Chapter 2, 11" sqref="E101" xr:uid="{00000000-0002-0000-0000-000068000000}">
      <formula1>"Yes, No"</formula1>
    </dataValidation>
    <dataValidation type="list" allowBlank="1" showInputMessage="1" showErrorMessage="1" prompt="Refers CG code Chapter 2, 11 / _x000a_As per the Circular 454/CIR/2019/5" sqref="E103" xr:uid="{00000000-0002-0000-0000-000069000000}">
      <formula1>"Yes, No"</formula1>
    </dataValidation>
    <dataValidation type="list" allowBlank="1" showInputMessage="1" showErrorMessage="1" prompt="Points will only be earned if last year's AGM was Held /_x000a_Refers CG code Chapter 5" sqref="E128" xr:uid="{00000000-0002-0000-0000-00006A000000}">
      <formula1>"Yes, No"</formula1>
    </dataValidation>
    <dataValidation type="list" allowBlank="1" showInputMessage="1" showErrorMessage="1" prompt="Refers CG code Chapter 3" sqref="E155" xr:uid="{00000000-0002-0000-0000-00006B000000}">
      <formula1>"Established and Functioning,Established but not functioning,Not yet established"</formula1>
    </dataValidation>
    <dataValidation type="whole" operator="greaterThanOrEqual" allowBlank="1" showInputMessage="1" showErrorMessage="1" prompt="_x000a_Write a whole number /_x000a_As per CG code if the board composition is 5, at least 2 members, otherwise minimum 3 members /_x000a_Refers CG code Chapter 3" sqref="E156" xr:uid="{00000000-0002-0000-0000-00006C000000}">
      <formula1>0</formula1>
    </dataValidation>
    <dataValidation type="list" allowBlank="1" showInputMessage="1" showErrorMessage="1" prompt="Refers CG code Chapter 3" sqref="E157:E158" xr:uid="{00000000-0002-0000-0000-00006D000000}">
      <formula1>"Minimum quarterly 1, biannually, Annually, None"</formula1>
    </dataValidation>
    <dataValidation type="list" allowBlank="1" showInputMessage="1" showErrorMessage="1" prompt="Refers CG code Chapter 3" sqref="E161" xr:uid="{00000000-0002-0000-0000-00006E000000}">
      <formula1>"Member of Professional Accountig body,Account/Finance Degree or above, Has no accounting or financial credentials"</formula1>
    </dataValidation>
    <dataValidation type="list" allowBlank="1" showInputMessage="1" showErrorMessage="1" prompt="Refers CG code Chapter 3" sqref="E162" xr:uid="{00000000-0002-0000-0000-00006F000000}">
      <formula1>" More than 5 years,Less than 5 years,Has no accounting or financial experience "</formula1>
    </dataValidation>
    <dataValidation type="list" allowBlank="1" showInputMessage="1" showErrorMessage="1" prompt="Points will only be earned if there is an Audit Charter or a TOR /_x000a_Refers CG code Chapter 2, 12" sqref="E173" xr:uid="{00000000-0002-0000-0000-000070000000}">
      <formula1>"Yes, No"</formula1>
    </dataValidation>
    <dataValidation type="list" allowBlank="1" showInputMessage="1" showErrorMessage="1" prompt="Points will only be earned if there is an Audit Charter or a TOR /_x000a_Refers CG code Chapter 3, 13 (1)" sqref="E166" xr:uid="{00000000-0002-0000-0000-000071000000}">
      <formula1>"Yes, No"</formula1>
    </dataValidation>
    <dataValidation type="list" allowBlank="1" showInputMessage="1" showErrorMessage="1" prompt="Points will only be earned if there is an Audit Charter or a TOR / _x000a_Refers CG code Chapter 3, 13(1)" sqref="E171" xr:uid="{00000000-0002-0000-0000-000072000000}">
      <formula1>"Yes, No"</formula1>
    </dataValidation>
    <dataValidation type="list" allowBlank="1" showInputMessage="1" showErrorMessage="1" prompt="Refers CG code Chapter 6" sqref="E214" xr:uid="{00000000-0002-0000-0000-000075000000}">
      <formula1>"Yes, No"</formula1>
    </dataValidation>
    <dataValidation type="list" allowBlank="1" showInputMessage="1" showErrorMessage="1" prompt="Refers CG code Chapter 6, 27(2)" sqref="E223" xr:uid="{00000000-0002-0000-0000-000076000000}">
      <formula1>"Yes, No"</formula1>
    </dataValidation>
    <dataValidation type="list" allowBlank="1" showInputMessage="1" showErrorMessage="1" prompt="Refers CG code Chapter 6, 28(1)" sqref="E224" xr:uid="{00000000-0002-0000-0000-000077000000}">
      <formula1>"Yes, No"</formula1>
    </dataValidation>
    <dataValidation type="list" allowBlank="1" showInputMessage="1" showErrorMessage="1" prompt="Refers CG code Chapter 6, 28(2)" sqref="E222" xr:uid="{00000000-0002-0000-0000-000078000000}">
      <formula1>"Yes, No"</formula1>
    </dataValidation>
    <dataValidation type="whole" operator="greaterThan" allowBlank="1" showInputMessage="1" showErrorMessage="1" prompt="Write Year in the format 2026 /_x000a_Refers CG code Chapter 8" sqref="E229" xr:uid="{00000000-0002-0000-0000-000079000000}">
      <formula1>0</formula1>
    </dataValidation>
    <dataValidation type="list" allowBlank="1" showInputMessage="1" showErrorMessage="1" prompt="Refers CG code Chapter 8, 35" sqref="E253:E255" xr:uid="{00000000-0002-0000-0000-00007A000000}">
      <formula1>"Yes, No"</formula1>
    </dataValidation>
    <dataValidation type="date" operator="greaterThanOrEqual" allowBlank="1" showInputMessage="1" showErrorMessage="1" prompt="Month-Day-Year " sqref="A9:D9 D8 A11:D12" xr:uid="{00000000-0002-0000-0000-00007D000000}">
      <formula1>1</formula1>
    </dataValidation>
    <dataValidation type="list" allowBlank="1" showInputMessage="1" showErrorMessage="1" prompt="Points will only be earned  if the business maintains a register" sqref="E36:E39" xr:uid="{FF14D5E8-2471-48C7-8095-F18A1C3ACB93}">
      <formula1>"All BODs updated, Some BODs updated,Not Updated (but current BOD's outdated info exist),No records"</formula1>
    </dataValidation>
    <dataValidation type="whole" operator="greaterThan" allowBlank="1" showInputMessage="1" showErrorMessage="1" prompt="Write a whole number" sqref="E20" xr:uid="{6187D52C-071E-47A6-8014-78B9492C68C9}">
      <formula1>-1</formula1>
    </dataValidation>
    <dataValidation type="date" allowBlank="1" showInputMessage="1" showErrorMessage="1" sqref="E230:G230" xr:uid="{00000000-0002-0000-0000-000006000000}">
      <formula1>44197</formula1>
      <formula2>44545</formula2>
    </dataValidation>
    <dataValidation allowBlank="1" showInputMessage="1" showErrorMessage="1" prompt="Points will only be given if board member(s) have completed the induction program." sqref="F79:F83" xr:uid="{00000000-0002-0000-0000-00002C000000}"/>
    <dataValidation allowBlank="1" showInputMessage="1" showErrorMessage="1" prompt="Points will only be given if business have register of interest" sqref="G90:G96" xr:uid="{00000000-0002-0000-0000-00002D000000}"/>
    <dataValidation allowBlank="1" showInputMessage="1" showErrorMessage="1" prompt="Points will only be given if there are board committees other than Audit Committtee" sqref="G123:G129 G131:G135 G137:G144 G146:G147 G149:G150 F109:G111 F113:G118" xr:uid="{00000000-0002-0000-0000-00002E000000}"/>
    <dataValidation allowBlank="1" showInputMessage="1" showErrorMessage="1" prompt="Points will only be given if the CFO requirements outlined in the policy are met." sqref="F192 F204:G208 G200" xr:uid="{00000000-0002-0000-0000-00002F000000}"/>
    <dataValidation allowBlank="1" showInputMessage="1" showErrorMessage="1" prompt="Points will only be given if the annual report for the last financial year was prepared." sqref="G231:G249" xr:uid="{00000000-0002-0000-0000-000030000000}"/>
    <dataValidation allowBlank="1" showInputMessage="1" showErrorMessage="1" prompt="Points will only be given if have company website. " sqref="G257:G273" xr:uid="{00000000-0002-0000-0000-000031000000}"/>
    <dataValidation allowBlank="1" showInputMessage="1" showErrorMessage="1" prompt="Points will only be given if the last year's AGM was Held" sqref="F43:G43 F144:F150 H146 G145 F138:F142 G148 G44:G45" xr:uid="{00000000-0002-0000-0000-000034000000}"/>
    <dataValidation allowBlank="1" showInputMessage="1" showErrorMessage="1" prompt="Points will only be earned if board member(s) have completed the induction program." sqref="F78:G78 G79:G83" xr:uid="{00000000-0002-0000-0000-00003A000000}"/>
    <dataValidation allowBlank="1" showInputMessage="1" showErrorMessage="1" prompt="Points will only be earned if the CFO requirements outlined in the policy are met." sqref="G198 E201:E202" xr:uid="{00000000-0002-0000-0000-00003C000000}"/>
    <dataValidation type="list" allowBlank="1" showInputMessage="1" showErrorMessage="1" sqref="E21 E26 E30 E112" xr:uid="{A5BEDE34-5DE1-4579-B460-01B9142D4708}">
      <formula1>"Yes (in remarks write letter NO/ if Email write emailed date),No"</formula1>
    </dataValidation>
    <dataValidation type="whole" allowBlank="1" showInputMessage="1" showErrorMessage="1" errorTitle="Not Consistant with Appointed NO" error="Can't be more than appointed BOD NO. _x000a__x000a_Min is 0_x000a_Ensure a Whole No. is written" prompt="Write a Whole number/Points will only be earned if 1/2 of the board consists of non-executive members / _x000a_Refers CG code Chapter 2 (1)" sqref="E23" xr:uid="{E8C90C8B-B3DB-43F1-8468-7176D267F781}">
      <formula1>0</formula1>
      <formula2>$E$20</formula2>
    </dataValidation>
    <dataValidation type="list" operator="greaterThanOrEqual" allowBlank="1" showInputMessage="1" showErrorMessage="1" sqref="E45" xr:uid="{B80610EE-145E-4ECE-8195-C7B7FFF05DAA}">
      <formula1>"2019,2020,2021,2022,2023,2024,2025,2026,Not Revised"</formula1>
    </dataValidation>
    <dataValidation type="list" allowBlank="1" showInputMessage="1" showErrorMessage="1" prompt="Refers CG code Chapter 2, 4" sqref="E48:E52 E54:E56" xr:uid="{00000000-0002-0000-0000-00005B000000}">
      <formula1>"Fully Covers, Written Separately and covers, Partially Covers, Not Sure "</formula1>
    </dataValidation>
    <dataValidation type="list" operator="greaterThanOrEqual" allowBlank="1" showInputMessage="1" showErrorMessage="1" sqref="E44" xr:uid="{A29B2FB5-C0B2-4306-92D2-3794D03F55F7}">
      <formula1>"2022,2023,2024,2025,2026,Not Revised"</formula1>
    </dataValidation>
    <dataValidation allowBlank="1" showInputMessage="1" showErrorMessage="1" prompt="Points will only be given if AOA is revised after (December 2024-) Model AOA circulated Date, even non 100 state share SOEs were advised to align with this model in 454/CIR/2024/12" sqref="F44:F45" xr:uid="{9A131158-1FDE-440D-A26F-8B52AF056160}"/>
    <dataValidation type="list" allowBlank="1" showInputMessage="1" showErrorMessage="1" prompt="Refers CG code Chapter 2, 4_x000a_And Company Secretary Policy" sqref="E53" xr:uid="{06994273-8775-4D8B-A7CD-DF3ECBA77588}">
      <formula1>"Fully Covers, Partially Covered in AOA and rest in the related Policy"</formula1>
    </dataValidation>
    <dataValidation type="list" allowBlank="1" showInputMessage="1" showErrorMessage="1" sqref="E74 E205:E206" xr:uid="{8B8F450F-54C7-4A82-8442-01C9598A58F9}">
      <formula1>"Yes,No"</formula1>
    </dataValidation>
    <dataValidation type="list" allowBlank="1" showInputMessage="1" showErrorMessage="1" prompt="Refers CIA basic requirement policy by PCB " sqref="E190" xr:uid="{B8C370FD-BF89-4B7E-A431-3BC2BE51985D}">
      <formula1>"Yes,No"</formula1>
    </dataValidation>
    <dataValidation type="list" allowBlank="1" showInputMessage="1" showErrorMessage="1" prompt="Refers CIA basic requirement policy by PCB " sqref="E184" xr:uid="{8D8F7630-66E8-42DF-BC15-DCA738A6F22A}">
      <formula1>"Qualified Chartered Internal Auditor,IFAC body Membership,MNQA lvl 9(Auditing/Accounting/Finance) Certification,Retained as per CH 4 (12) of CFO and CIA related Policy,Doesn’t meet requirement"</formula1>
    </dataValidation>
    <dataValidation type="list" allowBlank="1" showInputMessage="1" showErrorMessage="1" prompt="Refers CIA basic requirement policy by PCB " sqref="E187" xr:uid="{60C71FED-0C22-4F8A-9235-6E216E4712B5}">
      <formula1>"Experience Requirement meet,Retained as per CH 4 (12) of CFO and CIA related Policy,Doesn’t meet requirement"</formula1>
    </dataValidation>
    <dataValidation type="list" allowBlank="1" showInputMessage="1" showErrorMessage="1" prompt="Points will only be earned if the CFO requirements outlined in the policy are met." sqref="E198" xr:uid="{F7BD9EAE-30FB-4945-9B6D-0BD846E70D96}">
      <formula1>"IFAC body Membership,MNQA lvl 9(Accounting/Finance) Certification,Retained as per CH 4 (12) of CFO and CIA related Policy,Doesn’t meet requirement"</formula1>
    </dataValidation>
    <dataValidation type="list" allowBlank="1" showInputMessage="1" showErrorMessage="1" prompt="Points will only be earned if the CFO requirements outlined in the policy are met." sqref="E204" xr:uid="{00000000-0002-0000-0000-000036000000}">
      <formula1>"Yes, No"</formula1>
    </dataValidation>
    <dataValidation type="list" allowBlank="1" showInputMessage="1" showErrorMessage="1" prompt="Points will only be earned if the CFO requirements outlined in the policy are met." sqref="E203" xr:uid="{451116C0-80D8-4C24-B003-CAA51097BDEF}">
      <formula1>"Yes,No"</formula1>
    </dataValidation>
    <dataValidation type="list" allowBlank="1" showInputMessage="1" showErrorMessage="1" prompt="Points will only be earned if the CFO requirements outlined in the policy are met." sqref="E200" xr:uid="{E6B831F5-9777-433F-BFB4-90E51C44593A}">
      <formula1>"Experience Requirement meet,Retained as per CH 4 (12) of CFO and CIA related Policy,Doesn’t meet requirement"</formula1>
    </dataValidation>
    <dataValidation type="list" allowBlank="1" showInputMessage="1" showErrorMessage="1" sqref="E208" xr:uid="{6418873D-1886-46B7-A2CC-8BDB6CA1CEB1}">
      <formula1>"Yes,No,No CFO"</formula1>
    </dataValidation>
    <dataValidation type="list" allowBlank="1" showInputMessage="1" showErrorMessage="1" sqref="E192" xr:uid="{A4798DE3-07A2-4E2C-901A-D4E4AEE86322}">
      <formula1>"Yes,No,No CIA"</formula1>
    </dataValidation>
    <dataValidation type="date" operator="greaterThanOrEqual" allowBlank="1" showInputMessage="1" showErrorMessage="1" prompt="Write the year (in Figures)" sqref="D10" xr:uid="{D8563428-0625-49CC-88E0-B850E36B8798}">
      <formula1>1</formula1>
    </dataValidation>
    <dataValidation type="whole" operator="greaterThan" allowBlank="1" showInputMessage="1" showErrorMessage="1" prompt="Write Year in the format _x000a_eg: _x000a_2025_x000a_2026_x000a_*If AGM not conducted for the previous year - No Marks for this entire section (Note in 2026, AGM of 2025 is to be held)" sqref="E123" xr:uid="{5A12996F-4CB5-4A2E-A492-DFC42F7C1392}">
      <formula1>0</formula1>
    </dataValidation>
    <dataValidation type="list" allowBlank="1" showInputMessage="1" showErrorMessage="1" promptTitle="REF: 454/CIR/2024/9" sqref="E124" xr:uid="{3F3BA13D-B8C9-4975-905F-C574A6EC166E}">
      <formula1>"Yes, No"</formula1>
    </dataValidation>
  </dataValidations>
  <pageMargins left="0.7" right="0.7" top="0.75" bottom="0.75" header="0.3" footer="0.3"/>
  <pageSetup paperSize="9" scale="31" fitToHeight="0" orientation="portrait" r:id="rId1"/>
  <rowBreaks count="2" manualBreakCount="2">
    <brk id="151" max="6" man="1"/>
    <brk id="292" max="6" man="1"/>
  </rowBreaks>
  <ignoredErrors>
    <ignoredError sqref="F72" formula="1"/>
  </ignoredErrors>
  <drawing r:id="rId2"/>
  <extLst>
    <ext xmlns:x14="http://schemas.microsoft.com/office/spreadsheetml/2009/9/main" uri="{CCE6A557-97BC-4b89-ADB6-D9C93CAAB3DF}">
      <x14:dataValidations xmlns:xm="http://schemas.microsoft.com/office/excel/2006/main" xWindow="723" yWindow="611" count="22">
        <x14:dataValidation type="list" allowBlank="1" showInputMessage="1" showErrorMessage="1" prompt="Refers CG code Chapter 6" xr:uid="{00000000-0002-0000-0000-00000B000000}">
          <x14:formula1>
            <xm:f>KPIs!$R$3:$R$8</xm:f>
          </x14:formula1>
          <xm:sqref>E212</xm:sqref>
        </x14:dataValidation>
        <x14:dataValidation type="list" allowBlank="1" showInputMessage="1" showErrorMessage="1" prompt="Refers CG code Chapter 6" xr:uid="{00000000-0002-0000-0000-000015000000}">
          <x14:formula1>
            <xm:f>KPIs!$R$19:$R$22</xm:f>
          </x14:formula1>
          <xm:sqref>E215</xm:sqref>
        </x14:dataValidation>
        <x14:dataValidation type="list" allowBlank="1" showInputMessage="1" showErrorMessage="1" xr:uid="{00000000-0002-0000-0000-000024000000}">
          <x14:formula1>
            <xm:f>KPIs!$U$24:$U$26</xm:f>
          </x14:formula1>
          <xm:sqref>E282</xm:sqref>
        </x14:dataValidation>
        <x14:dataValidation type="list" allowBlank="1" showInputMessage="1" showErrorMessage="1" prompt="Refers CG Code Chapter 2 - BOD's Fiduciary Responsibilities " xr:uid="{00000000-0002-0000-0000-00002A000000}">
          <x14:formula1>
            <xm:f>KPIs!$U$3:$U$7</xm:f>
          </x14:formula1>
          <xm:sqref>E278</xm:sqref>
        </x14:dataValidation>
        <x14:dataValidation type="list" allowBlank="1" showInputMessage="1" showErrorMessage="1" prompt="Refers CG Code Chapter 2 - BOD's Fiduciary Responsibilities " xr:uid="{00000000-0002-0000-0000-00007B000000}">
          <x14:formula1>
            <xm:f>KPIs!$U$18:$U$21</xm:f>
          </x14:formula1>
          <xm:sqref>E281</xm:sqref>
        </x14:dataValidation>
        <x14:dataValidation type="list" allowBlank="1" showInputMessage="1" showErrorMessage="1" prompt="Refers CIA basic requirement policy by PCB " xr:uid="{00000000-0002-0000-0000-000074000000}">
          <x14:formula1>
            <xm:f>KPIs!$K$11:$K$13</xm:f>
          </x14:formula1>
          <xm:sqref>E182</xm:sqref>
        </x14:dataValidation>
        <x14:dataValidation type="list" allowBlank="1" showInputMessage="1" showErrorMessage="1" prompt="Points will only be earned if the CFO requirements outlined in the policy are met." xr:uid="{D001FD28-47DD-4CC9-8EB0-B7EBB8E5B88D}">
          <x14:formula1>
            <xm:f>KPIs!$K$11:$K$13</xm:f>
          </x14:formula1>
          <xm:sqref>E196</xm:sqref>
        </x14:dataValidation>
        <x14:dataValidation type="list" allowBlank="1" showInputMessage="1" showErrorMessage="1" prompt="Refers CG code Chapter 6" xr:uid="{00000000-0002-0000-0000-000000000000}">
          <x14:formula1>
            <xm:f>KPIs!$K$28:$K$31</xm:f>
          </x14:formula1>
          <xm:sqref>E178</xm:sqref>
        </x14:dataValidation>
        <x14:dataValidation type="list" allowBlank="1" showInputMessage="1" showErrorMessage="1" prompt="Refers CIA basic requirement policy by PCB" xr:uid="{00000000-0002-0000-0000-000073000000}">
          <x14:formula1>
            <xm:f>KPIs!$K$42:$K$46</xm:f>
          </x14:formula1>
          <xm:sqref>E180</xm:sqref>
        </x14:dataValidation>
        <x14:dataValidation type="list" allowBlank="1" showInputMessage="1" showErrorMessage="1" prompt="Refers CG code Chapter 6" xr:uid="{A2DA41D5-B8B1-40BE-9650-C7089D113CAD}">
          <x14:formula1>
            <xm:f>KPIs!$K$34:$K$39</xm:f>
          </x14:formula1>
          <xm:sqref>E179</xm:sqref>
        </x14:dataValidation>
        <x14:dataValidation type="list" allowBlank="1" showInputMessage="1" showErrorMessage="1" prompt="Refers CIA basic requirement policy by PCB" xr:uid="{CD63D86E-288D-47AA-9564-684DA0CA16ED}">
          <x14:formula1>
            <xm:f>KPIs!$K$49:$K$51</xm:f>
          </x14:formula1>
          <xm:sqref>E181</xm:sqref>
        </x14:dataValidation>
        <x14:dataValidation type="list" allowBlank="1" showInputMessage="1" showErrorMessage="1" prompt="Refers CG code Chapter 6" xr:uid="{00000000-0002-0000-0000-000021000000}">
          <x14:formula1>
            <xm:f>KPIs!$K$55:$K$59</xm:f>
          </x14:formula1>
          <xm:sqref>E191</xm:sqref>
        </x14:dataValidation>
        <x14:dataValidation type="list" allowBlank="1" showInputMessage="1" showErrorMessage="1" prompt="Refers CG code Chapter 6" xr:uid="{00000000-0002-0000-0000-000017000000}">
          <x14:formula1>
            <xm:f>KPIs!$K$16:$K$20</xm:f>
          </x14:formula1>
          <xm:sqref>E207</xm:sqref>
        </x14:dataValidation>
        <x14:dataValidation type="list" allowBlank="1" showInputMessage="1" showErrorMessage="1" prompt="Refers CG code Chapter 6" xr:uid="{00000000-0002-0000-0000-000013000000}">
          <x14:formula1>
            <xm:f>KPIs!$R$11:$R$14</xm:f>
          </x14:formula1>
          <xm:sqref>E213</xm:sqref>
        </x14:dataValidation>
        <x14:dataValidation type="list" allowBlank="1" showInputMessage="1" showErrorMessage="1" prompt="Refers CG Code Chapter 2 - BOD's Fiduciary Responsibilities " xr:uid="{540FC5ED-14ED-4A95-B641-14AB702A56C5}">
          <x14:formula1>
            <xm:f>KPIs!$U$10:$U$14</xm:f>
          </x14:formula1>
          <xm:sqref>E279</xm:sqref>
        </x14:dataValidation>
        <x14:dataValidation type="list" allowBlank="1" showInputMessage="1" showErrorMessage="1" xr:uid="{01CC38F3-F043-4C21-96EF-C05EEACBB441}">
          <x14:formula1>
            <xm:f>KPIs!$U$18:$U$21</xm:f>
          </x14:formula1>
          <xm:sqref>E283 E285:E286</xm:sqref>
        </x14:dataValidation>
        <x14:dataValidation type="list" allowBlank="1" showInputMessage="1" showErrorMessage="1" prompt="Refers CG code Chapter 3" xr:uid="{C25914E0-3B44-4A9B-AB1D-F63EBC3D4332}">
          <x14:formula1>
            <xm:f>KPIs!$D$52:$D$53</xm:f>
          </x14:formula1>
          <xm:sqref>E159</xm:sqref>
        </x14:dataValidation>
        <x14:dataValidation type="list" allowBlank="1" showInputMessage="1" showErrorMessage="1" prompt="Points will only be earned if last year's AGM was Held / _x000a_Refers CG code Chapter 5_x000a_" xr:uid="{00000000-0002-0000-0000-00001C000000}">
          <x14:formula1>
            <xm:f>KPIs!$O$18:$O$20</xm:f>
          </x14:formula1>
          <xm:sqref>E126</xm:sqref>
        </x14:dataValidation>
        <x14:dataValidation type="list" allowBlank="1" showInputMessage="1" showErrorMessage="1" prompt="Points will only be earned if last year's AGM was Held / _x000a_Refers CG code Chapter 5, 22" xr:uid="{00000000-0002-0000-0000-000049000000}">
          <x14:formula1>
            <xm:f>KPIs!$O$37:$O$40</xm:f>
          </x14:formula1>
          <xm:sqref>E146</xm:sqref>
        </x14:dataValidation>
        <x14:dataValidation type="list" allowBlank="1" showInputMessage="1" showErrorMessage="1" prompt="Points will only be earned if last year's AGM was Held / _x000a_Refers CG code Chapter 5, 19-2" xr:uid="{00000000-0002-0000-0000-000054000000}">
          <x14:formula1>
            <xm:f>KPIs!$O$51:$O$53</xm:f>
          </x14:formula1>
          <xm:sqref>E144</xm:sqref>
        </x14:dataValidation>
        <x14:dataValidation type="list" allowBlank="1" showInputMessage="1" showErrorMessage="1" prompt="Points will only be earned if last year's AGM was Held / _x000a_Refers CG code Chapter 5, 22" xr:uid="{B5D716AD-3704-4A34-B595-DA93987724F7}">
          <x14:formula1>
            <xm:f>KPIs!$O$44:$O$47</xm:f>
          </x14:formula1>
          <xm:sqref>E147</xm:sqref>
        </x14:dataValidation>
        <x14:dataValidation type="list" operator="lessThan" allowBlank="1" showInputMessage="1" showErrorMessage="1" prompt="Month-Day-Year / Points will only be earned if last year's AGM was Held / AGM should be held before May 31 as per circular no:454/CIR/2019/5" xr:uid="{00000000-0002-0000-0000-000051000000}">
          <x14:formula1>
            <xm:f>KPIs!O3:O15</xm:f>
          </x14:formula1>
          <xm:sqref>E125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77C13-A9BE-4501-9CD2-78D9895D3394}">
  <dimension ref="A1:V59"/>
  <sheetViews>
    <sheetView zoomScale="70" zoomScaleNormal="70" workbookViewId="0">
      <selection activeCell="E34" sqref="E34"/>
    </sheetView>
  </sheetViews>
  <sheetFormatPr defaultRowHeight="15"/>
  <cols>
    <col min="1" max="1" width="48.140625" bestFit="1" customWidth="1"/>
    <col min="2" max="2" width="13.85546875" bestFit="1" customWidth="1"/>
    <col min="3" max="3" width="4.42578125" customWidth="1"/>
    <col min="4" max="4" width="49.7109375" bestFit="1" customWidth="1"/>
    <col min="5" max="5" width="13.85546875" bestFit="1" customWidth="1"/>
    <col min="6" max="6" width="1.7109375" customWidth="1"/>
    <col min="7" max="7" width="3.140625" customWidth="1"/>
    <col min="8" max="8" width="65.28515625" customWidth="1"/>
    <col min="9" max="9" width="14.140625" bestFit="1" customWidth="1"/>
    <col min="10" max="10" width="2.85546875" customWidth="1"/>
    <col min="11" max="11" width="59" bestFit="1" customWidth="1"/>
    <col min="14" max="14" width="2.85546875" customWidth="1"/>
    <col min="15" max="15" width="52.28515625" bestFit="1" customWidth="1"/>
    <col min="17" max="17" width="2.140625" customWidth="1"/>
    <col min="18" max="18" width="67.42578125" bestFit="1" customWidth="1"/>
    <col min="21" max="21" width="24.5703125" bestFit="1" customWidth="1"/>
  </cols>
  <sheetData>
    <row r="1" spans="1:22" ht="18.75">
      <c r="A1" s="272" t="s">
        <v>234</v>
      </c>
      <c r="B1" s="272"/>
      <c r="D1" s="274" t="s">
        <v>161</v>
      </c>
      <c r="E1" s="274"/>
      <c r="F1" s="274"/>
      <c r="H1" s="274" t="s">
        <v>111</v>
      </c>
      <c r="I1" s="274"/>
      <c r="K1" s="4" t="s">
        <v>311</v>
      </c>
      <c r="O1" t="s">
        <v>371</v>
      </c>
      <c r="R1" t="s">
        <v>402</v>
      </c>
      <c r="U1" t="s">
        <v>172</v>
      </c>
    </row>
    <row r="2" spans="1:22">
      <c r="D2" s="4" t="s">
        <v>276</v>
      </c>
      <c r="E2" t="s">
        <v>233</v>
      </c>
      <c r="H2" s="4" t="s">
        <v>296</v>
      </c>
      <c r="I2" t="s">
        <v>233</v>
      </c>
      <c r="K2" t="s">
        <v>322</v>
      </c>
      <c r="L2">
        <v>10</v>
      </c>
      <c r="O2" s="4" t="s">
        <v>372</v>
      </c>
      <c r="P2" t="s">
        <v>233</v>
      </c>
      <c r="R2" s="4" t="s">
        <v>400</v>
      </c>
      <c r="S2" t="s">
        <v>233</v>
      </c>
      <c r="U2" s="4" t="s">
        <v>181</v>
      </c>
      <c r="V2" t="s">
        <v>233</v>
      </c>
    </row>
    <row r="3" spans="1:22">
      <c r="A3" s="4" t="s">
        <v>235</v>
      </c>
      <c r="B3" t="s">
        <v>233</v>
      </c>
      <c r="D3" t="s">
        <v>260</v>
      </c>
      <c r="E3">
        <v>15</v>
      </c>
      <c r="H3" t="s">
        <v>279</v>
      </c>
      <c r="I3">
        <v>14</v>
      </c>
      <c r="K3" t="s">
        <v>320</v>
      </c>
      <c r="L3">
        <v>10</v>
      </c>
      <c r="O3" t="s">
        <v>430</v>
      </c>
      <c r="P3">
        <v>5</v>
      </c>
      <c r="R3" t="s">
        <v>401</v>
      </c>
      <c r="S3">
        <v>30</v>
      </c>
      <c r="U3" t="s">
        <v>305</v>
      </c>
      <c r="V3">
        <v>8</v>
      </c>
    </row>
    <row r="4" spans="1:22">
      <c r="A4" t="s">
        <v>227</v>
      </c>
      <c r="B4">
        <v>20</v>
      </c>
      <c r="D4" t="s">
        <v>261</v>
      </c>
      <c r="E4">
        <v>10</v>
      </c>
      <c r="H4" t="s">
        <v>280</v>
      </c>
      <c r="I4">
        <v>10</v>
      </c>
      <c r="K4" t="s">
        <v>319</v>
      </c>
      <c r="L4">
        <v>10</v>
      </c>
      <c r="O4" t="s">
        <v>431</v>
      </c>
      <c r="P4">
        <v>5</v>
      </c>
      <c r="R4" t="s">
        <v>396</v>
      </c>
      <c r="S4">
        <v>30</v>
      </c>
      <c r="U4" t="s">
        <v>411</v>
      </c>
      <c r="V4">
        <v>5</v>
      </c>
    </row>
    <row r="5" spans="1:22">
      <c r="A5" t="s">
        <v>228</v>
      </c>
      <c r="B5">
        <v>10</v>
      </c>
      <c r="D5" t="s">
        <v>277</v>
      </c>
      <c r="E5">
        <v>10</v>
      </c>
      <c r="H5" t="s">
        <v>287</v>
      </c>
      <c r="I5">
        <v>7</v>
      </c>
      <c r="K5" t="s">
        <v>324</v>
      </c>
      <c r="L5">
        <v>5</v>
      </c>
      <c r="O5" t="s">
        <v>432</v>
      </c>
      <c r="P5">
        <v>5</v>
      </c>
      <c r="R5" t="s">
        <v>397</v>
      </c>
      <c r="S5">
        <v>15</v>
      </c>
      <c r="U5" t="s">
        <v>412</v>
      </c>
      <c r="V5">
        <v>3</v>
      </c>
    </row>
    <row r="6" spans="1:22">
      <c r="A6" t="s">
        <v>219</v>
      </c>
      <c r="B6">
        <v>0</v>
      </c>
      <c r="D6" t="s">
        <v>278</v>
      </c>
      <c r="E6">
        <v>5</v>
      </c>
      <c r="H6" t="s">
        <v>288</v>
      </c>
      <c r="I6">
        <v>0</v>
      </c>
      <c r="K6" t="s">
        <v>326</v>
      </c>
      <c r="L6">
        <v>0</v>
      </c>
      <c r="O6" t="s">
        <v>433</v>
      </c>
      <c r="P6">
        <v>5</v>
      </c>
      <c r="R6" t="s">
        <v>398</v>
      </c>
      <c r="S6">
        <v>10</v>
      </c>
      <c r="U6" t="s">
        <v>306</v>
      </c>
      <c r="V6">
        <v>0</v>
      </c>
    </row>
    <row r="7" spans="1:22">
      <c r="D7" t="s">
        <v>275</v>
      </c>
      <c r="E7">
        <v>0</v>
      </c>
      <c r="K7" t="s">
        <v>325</v>
      </c>
      <c r="L7">
        <v>10</v>
      </c>
      <c r="O7" t="s">
        <v>434</v>
      </c>
      <c r="P7">
        <v>5</v>
      </c>
      <c r="R7" t="s">
        <v>297</v>
      </c>
      <c r="S7">
        <v>5</v>
      </c>
      <c r="U7" t="s">
        <v>307</v>
      </c>
      <c r="V7">
        <v>0</v>
      </c>
    </row>
    <row r="8" spans="1:22">
      <c r="A8" s="176" t="s">
        <v>236</v>
      </c>
      <c r="B8" t="s">
        <v>233</v>
      </c>
      <c r="H8" s="4" t="s">
        <v>195</v>
      </c>
      <c r="I8" t="s">
        <v>233</v>
      </c>
      <c r="K8" t="s">
        <v>327</v>
      </c>
      <c r="L8">
        <v>10</v>
      </c>
      <c r="O8" t="s">
        <v>435</v>
      </c>
      <c r="P8">
        <v>3</v>
      </c>
      <c r="R8" t="s">
        <v>395</v>
      </c>
      <c r="S8">
        <v>0</v>
      </c>
    </row>
    <row r="9" spans="1:22">
      <c r="A9" t="s">
        <v>229</v>
      </c>
      <c r="B9">
        <v>20</v>
      </c>
      <c r="D9" s="4" t="s">
        <v>55</v>
      </c>
      <c r="E9" t="s">
        <v>233</v>
      </c>
      <c r="H9" t="s">
        <v>279</v>
      </c>
      <c r="I9">
        <v>14</v>
      </c>
      <c r="O9" t="s">
        <v>436</v>
      </c>
      <c r="P9">
        <v>3</v>
      </c>
      <c r="U9" s="4" t="s">
        <v>413</v>
      </c>
      <c r="V9" t="s">
        <v>233</v>
      </c>
    </row>
    <row r="10" spans="1:22">
      <c r="A10" t="s">
        <v>230</v>
      </c>
      <c r="B10">
        <v>10</v>
      </c>
      <c r="D10" t="s">
        <v>227</v>
      </c>
      <c r="E10">
        <v>10</v>
      </c>
      <c r="H10" t="s">
        <v>280</v>
      </c>
      <c r="I10">
        <v>10</v>
      </c>
      <c r="K10" s="4" t="s">
        <v>358</v>
      </c>
      <c r="O10" t="s">
        <v>437</v>
      </c>
      <c r="P10">
        <v>3</v>
      </c>
      <c r="R10" s="4" t="s">
        <v>8</v>
      </c>
      <c r="S10" t="s">
        <v>233</v>
      </c>
      <c r="U10" t="s">
        <v>351</v>
      </c>
      <c r="V10">
        <v>8</v>
      </c>
    </row>
    <row r="11" spans="1:22">
      <c r="A11" t="s">
        <v>231</v>
      </c>
      <c r="B11">
        <v>5</v>
      </c>
      <c r="D11" t="s">
        <v>289</v>
      </c>
      <c r="E11">
        <v>5</v>
      </c>
      <c r="H11" t="s">
        <v>287</v>
      </c>
      <c r="I11">
        <v>7</v>
      </c>
      <c r="K11" t="s">
        <v>317</v>
      </c>
      <c r="L11">
        <v>10</v>
      </c>
      <c r="O11" t="s">
        <v>438</v>
      </c>
      <c r="P11">
        <v>3</v>
      </c>
      <c r="R11" t="s">
        <v>299</v>
      </c>
      <c r="S11">
        <v>20</v>
      </c>
      <c r="U11" t="s">
        <v>399</v>
      </c>
      <c r="V11">
        <v>5</v>
      </c>
    </row>
    <row r="12" spans="1:22">
      <c r="A12" t="s">
        <v>232</v>
      </c>
      <c r="B12">
        <v>0</v>
      </c>
      <c r="D12" t="s">
        <v>219</v>
      </c>
      <c r="E12">
        <v>0</v>
      </c>
      <c r="H12" t="s">
        <v>291</v>
      </c>
      <c r="I12">
        <v>0</v>
      </c>
      <c r="K12" t="s">
        <v>339</v>
      </c>
      <c r="L12">
        <v>5</v>
      </c>
      <c r="O12" t="s">
        <v>439</v>
      </c>
      <c r="P12">
        <v>3</v>
      </c>
      <c r="R12" t="s">
        <v>300</v>
      </c>
      <c r="S12">
        <v>10</v>
      </c>
      <c r="U12" t="s">
        <v>407</v>
      </c>
      <c r="V12">
        <v>3</v>
      </c>
    </row>
    <row r="13" spans="1:22">
      <c r="K13" t="s">
        <v>338</v>
      </c>
      <c r="L13">
        <v>0</v>
      </c>
      <c r="O13" t="s">
        <v>440</v>
      </c>
      <c r="P13">
        <v>3</v>
      </c>
      <c r="R13" t="s">
        <v>306</v>
      </c>
      <c r="S13">
        <v>3</v>
      </c>
      <c r="U13" t="s">
        <v>306</v>
      </c>
      <c r="V13">
        <v>0</v>
      </c>
    </row>
    <row r="14" spans="1:22">
      <c r="A14" s="273" t="s">
        <v>85</v>
      </c>
      <c r="B14" s="273"/>
      <c r="H14" s="203" t="s">
        <v>111</v>
      </c>
      <c r="I14" s="203"/>
      <c r="O14" t="s">
        <v>441</v>
      </c>
      <c r="P14">
        <v>3</v>
      </c>
      <c r="R14" t="s">
        <v>307</v>
      </c>
      <c r="S14">
        <v>0</v>
      </c>
      <c r="U14" t="s">
        <v>307</v>
      </c>
      <c r="V14">
        <v>0</v>
      </c>
    </row>
    <row r="15" spans="1:22">
      <c r="D15" s="4" t="s">
        <v>146</v>
      </c>
      <c r="E15" t="s">
        <v>233</v>
      </c>
      <c r="H15" s="4" t="s">
        <v>298</v>
      </c>
      <c r="I15" t="s">
        <v>233</v>
      </c>
      <c r="K15" s="4" t="s">
        <v>142</v>
      </c>
      <c r="O15" t="s">
        <v>442</v>
      </c>
      <c r="P15">
        <v>0</v>
      </c>
    </row>
    <row r="16" spans="1:22">
      <c r="A16" s="4" t="s">
        <v>257</v>
      </c>
      <c r="B16" t="s">
        <v>233</v>
      </c>
      <c r="D16" t="s">
        <v>262</v>
      </c>
      <c r="E16">
        <v>12</v>
      </c>
      <c r="H16" t="s">
        <v>227</v>
      </c>
      <c r="I16">
        <v>16</v>
      </c>
      <c r="K16" t="s">
        <v>290</v>
      </c>
      <c r="L16">
        <v>20</v>
      </c>
    </row>
    <row r="17" spans="1:22">
      <c r="A17" t="s">
        <v>239</v>
      </c>
      <c r="B17">
        <v>8</v>
      </c>
      <c r="D17" t="s">
        <v>263</v>
      </c>
      <c r="E17">
        <v>10</v>
      </c>
      <c r="H17" t="s">
        <v>228</v>
      </c>
      <c r="I17">
        <v>8</v>
      </c>
      <c r="K17" t="s">
        <v>360</v>
      </c>
      <c r="L17">
        <v>12</v>
      </c>
      <c r="O17" s="4" t="s">
        <v>375</v>
      </c>
      <c r="U17" s="4" t="s">
        <v>414</v>
      </c>
      <c r="V17" t="s">
        <v>233</v>
      </c>
    </row>
    <row r="18" spans="1:22">
      <c r="A18" t="s">
        <v>237</v>
      </c>
      <c r="B18">
        <v>4</v>
      </c>
      <c r="D18" t="s">
        <v>264</v>
      </c>
      <c r="E18">
        <v>0</v>
      </c>
      <c r="H18" t="s">
        <v>219</v>
      </c>
      <c r="I18">
        <v>0</v>
      </c>
      <c r="K18" t="s">
        <v>359</v>
      </c>
      <c r="L18">
        <v>10</v>
      </c>
      <c r="O18" t="s">
        <v>369</v>
      </c>
      <c r="P18">
        <v>8</v>
      </c>
      <c r="R18" t="s">
        <v>140</v>
      </c>
      <c r="S18" t="s">
        <v>233</v>
      </c>
      <c r="U18" t="s">
        <v>299</v>
      </c>
      <c r="V18">
        <v>9</v>
      </c>
    </row>
    <row r="19" spans="1:22">
      <c r="A19" t="s">
        <v>255</v>
      </c>
      <c r="B19">
        <v>6</v>
      </c>
      <c r="D19" t="s">
        <v>265</v>
      </c>
      <c r="E19">
        <v>0</v>
      </c>
      <c r="K19" t="s">
        <v>361</v>
      </c>
      <c r="L19">
        <v>5</v>
      </c>
      <c r="O19" t="s">
        <v>373</v>
      </c>
      <c r="P19">
        <v>5</v>
      </c>
      <c r="R19" t="s">
        <v>406</v>
      </c>
      <c r="S19">
        <v>30</v>
      </c>
      <c r="U19" t="s">
        <v>408</v>
      </c>
      <c r="V19">
        <v>5</v>
      </c>
    </row>
    <row r="20" spans="1:22">
      <c r="A20" t="s">
        <v>238</v>
      </c>
      <c r="B20">
        <v>4</v>
      </c>
      <c r="D20" t="s">
        <v>266</v>
      </c>
      <c r="E20">
        <v>8</v>
      </c>
      <c r="K20" t="s">
        <v>362</v>
      </c>
      <c r="O20" t="s">
        <v>374</v>
      </c>
      <c r="P20">
        <v>0</v>
      </c>
      <c r="R20" t="s">
        <v>403</v>
      </c>
      <c r="S20">
        <v>5</v>
      </c>
      <c r="U20" t="s">
        <v>306</v>
      </c>
      <c r="V20">
        <v>3</v>
      </c>
    </row>
    <row r="21" spans="1:22">
      <c r="A21" t="s">
        <v>256</v>
      </c>
      <c r="B21">
        <v>0</v>
      </c>
      <c r="R21" t="s">
        <v>404</v>
      </c>
      <c r="S21">
        <v>0</v>
      </c>
      <c r="U21" t="s">
        <v>307</v>
      </c>
      <c r="V21">
        <v>0</v>
      </c>
    </row>
    <row r="22" spans="1:22">
      <c r="D22" s="4" t="s">
        <v>148</v>
      </c>
      <c r="E22" t="s">
        <v>233</v>
      </c>
      <c r="K22" s="4" t="s">
        <v>336</v>
      </c>
      <c r="L22" s="4"/>
      <c r="O22" s="78" t="s">
        <v>96</v>
      </c>
      <c r="P22" s="78"/>
      <c r="R22" t="s">
        <v>405</v>
      </c>
      <c r="S22">
        <v>0</v>
      </c>
    </row>
    <row r="23" spans="1:22">
      <c r="D23" t="s">
        <v>268</v>
      </c>
      <c r="E23">
        <v>12</v>
      </c>
      <c r="K23" t="s">
        <v>308</v>
      </c>
      <c r="L23">
        <v>10</v>
      </c>
      <c r="M23" s="184" t="s">
        <v>323</v>
      </c>
      <c r="O23" t="s">
        <v>370</v>
      </c>
      <c r="P23">
        <v>6</v>
      </c>
      <c r="U23" s="4" t="s">
        <v>415</v>
      </c>
      <c r="V23" t="s">
        <v>233</v>
      </c>
    </row>
    <row r="24" spans="1:22">
      <c r="D24" t="s">
        <v>267</v>
      </c>
      <c r="E24">
        <v>6</v>
      </c>
      <c r="K24" t="s">
        <v>297</v>
      </c>
      <c r="L24">
        <v>5</v>
      </c>
      <c r="M24" s="184" t="s">
        <v>323</v>
      </c>
      <c r="O24" t="s">
        <v>376</v>
      </c>
      <c r="P24">
        <v>0</v>
      </c>
      <c r="U24" t="s">
        <v>269</v>
      </c>
      <c r="V24">
        <v>9</v>
      </c>
    </row>
    <row r="25" spans="1:22">
      <c r="D25" t="s">
        <v>283</v>
      </c>
      <c r="E25">
        <v>2</v>
      </c>
      <c r="K25" t="s">
        <v>337</v>
      </c>
      <c r="L25">
        <v>0</v>
      </c>
      <c r="M25" s="184" t="s">
        <v>323</v>
      </c>
      <c r="U25" t="s">
        <v>409</v>
      </c>
      <c r="V25">
        <v>5</v>
      </c>
    </row>
    <row r="26" spans="1:22">
      <c r="D26" t="s">
        <v>284</v>
      </c>
      <c r="E26">
        <v>0</v>
      </c>
      <c r="M26" s="184" t="s">
        <v>323</v>
      </c>
      <c r="O26" s="4" t="s">
        <v>391</v>
      </c>
      <c r="U26" t="s">
        <v>410</v>
      </c>
      <c r="V26">
        <v>3</v>
      </c>
    </row>
    <row r="27" spans="1:22">
      <c r="K27" s="78" t="s">
        <v>6</v>
      </c>
      <c r="L27" s="78"/>
      <c r="M27" s="184" t="s">
        <v>323</v>
      </c>
      <c r="O27" t="s">
        <v>249</v>
      </c>
      <c r="P27">
        <v>3</v>
      </c>
    </row>
    <row r="28" spans="1:22">
      <c r="D28" s="4" t="s">
        <v>147</v>
      </c>
      <c r="E28" t="s">
        <v>233</v>
      </c>
      <c r="K28" t="s">
        <v>299</v>
      </c>
      <c r="L28">
        <v>10</v>
      </c>
      <c r="M28" s="184" t="s">
        <v>323</v>
      </c>
      <c r="O28" t="s">
        <v>377</v>
      </c>
      <c r="P28">
        <v>3</v>
      </c>
    </row>
    <row r="29" spans="1:22">
      <c r="D29" t="s">
        <v>269</v>
      </c>
      <c r="E29">
        <v>12</v>
      </c>
      <c r="K29" t="s">
        <v>300</v>
      </c>
      <c r="L29">
        <v>7</v>
      </c>
      <c r="M29" s="184" t="s">
        <v>323</v>
      </c>
      <c r="O29" t="s">
        <v>378</v>
      </c>
      <c r="P29">
        <v>3</v>
      </c>
    </row>
    <row r="30" spans="1:22">
      <c r="D30" t="s">
        <v>270</v>
      </c>
      <c r="E30">
        <v>6</v>
      </c>
      <c r="K30" t="s">
        <v>306</v>
      </c>
      <c r="L30">
        <v>5</v>
      </c>
      <c r="M30" s="184" t="s">
        <v>323</v>
      </c>
      <c r="O30" t="s">
        <v>379</v>
      </c>
      <c r="P30">
        <v>3</v>
      </c>
    </row>
    <row r="31" spans="1:22">
      <c r="D31" t="s">
        <v>285</v>
      </c>
      <c r="E31">
        <v>0</v>
      </c>
      <c r="K31" t="s">
        <v>307</v>
      </c>
      <c r="L31">
        <v>0</v>
      </c>
      <c r="M31" s="184" t="s">
        <v>323</v>
      </c>
      <c r="O31" t="s">
        <v>383</v>
      </c>
      <c r="P31">
        <v>3</v>
      </c>
    </row>
    <row r="32" spans="1:22">
      <c r="M32" s="184" t="s">
        <v>323</v>
      </c>
      <c r="O32" t="s">
        <v>226</v>
      </c>
      <c r="P32">
        <v>0</v>
      </c>
    </row>
    <row r="33" spans="4:16">
      <c r="D33" s="4" t="s">
        <v>10</v>
      </c>
      <c r="E33" t="s">
        <v>233</v>
      </c>
      <c r="K33" s="4" t="s">
        <v>328</v>
      </c>
      <c r="M33" s="184" t="s">
        <v>323</v>
      </c>
      <c r="O33" t="s">
        <v>384</v>
      </c>
      <c r="P33">
        <v>3</v>
      </c>
    </row>
    <row r="34" spans="4:16">
      <c r="D34" t="s">
        <v>271</v>
      </c>
      <c r="E34">
        <v>12</v>
      </c>
      <c r="K34" t="s">
        <v>330</v>
      </c>
      <c r="L34">
        <v>15</v>
      </c>
      <c r="M34" s="184" t="s">
        <v>323</v>
      </c>
      <c r="O34" t="s">
        <v>385</v>
      </c>
      <c r="P34">
        <v>3</v>
      </c>
    </row>
    <row r="35" spans="4:16">
      <c r="D35" t="s">
        <v>272</v>
      </c>
      <c r="E35">
        <v>12</v>
      </c>
      <c r="K35" t="s">
        <v>331</v>
      </c>
      <c r="L35">
        <v>0</v>
      </c>
      <c r="M35" s="184" t="s">
        <v>323</v>
      </c>
    </row>
    <row r="36" spans="4:16">
      <c r="D36" t="s">
        <v>273</v>
      </c>
      <c r="E36">
        <v>8</v>
      </c>
      <c r="K36" t="s">
        <v>332</v>
      </c>
      <c r="L36">
        <v>0</v>
      </c>
      <c r="M36" s="184" t="s">
        <v>323</v>
      </c>
      <c r="O36" s="4" t="s">
        <v>392</v>
      </c>
    </row>
    <row r="37" spans="4:16">
      <c r="D37" t="s">
        <v>281</v>
      </c>
      <c r="E37">
        <v>4</v>
      </c>
      <c r="K37" t="s">
        <v>333</v>
      </c>
      <c r="L37">
        <v>0</v>
      </c>
      <c r="M37" s="184" t="s">
        <v>323</v>
      </c>
      <c r="O37" t="s">
        <v>389</v>
      </c>
      <c r="P37">
        <v>3</v>
      </c>
    </row>
    <row r="38" spans="4:16">
      <c r="D38" t="s">
        <v>274</v>
      </c>
      <c r="E38">
        <v>1</v>
      </c>
      <c r="K38" t="s">
        <v>334</v>
      </c>
      <c r="L38">
        <v>0</v>
      </c>
      <c r="M38" s="184" t="s">
        <v>323</v>
      </c>
      <c r="O38" t="s">
        <v>446</v>
      </c>
      <c r="P38">
        <v>3</v>
      </c>
    </row>
    <row r="39" spans="4:16">
      <c r="D39" t="s">
        <v>286</v>
      </c>
      <c r="E39">
        <v>0</v>
      </c>
      <c r="K39" t="s">
        <v>329</v>
      </c>
      <c r="L39">
        <v>0</v>
      </c>
      <c r="M39" s="184" t="s">
        <v>323</v>
      </c>
      <c r="O39" t="s">
        <v>447</v>
      </c>
      <c r="P39">
        <v>0</v>
      </c>
    </row>
    <row r="40" spans="4:16">
      <c r="M40" s="184" t="s">
        <v>323</v>
      </c>
      <c r="O40" t="s">
        <v>448</v>
      </c>
      <c r="P40">
        <v>0</v>
      </c>
    </row>
    <row r="41" spans="4:16">
      <c r="D41" s="4" t="s">
        <v>54</v>
      </c>
      <c r="E41" t="s">
        <v>233</v>
      </c>
      <c r="K41" s="4" t="s">
        <v>340</v>
      </c>
      <c r="M41" s="184" t="s">
        <v>323</v>
      </c>
    </row>
    <row r="42" spans="4:16">
      <c r="D42" t="s">
        <v>271</v>
      </c>
      <c r="E42">
        <v>12</v>
      </c>
      <c r="K42" t="s">
        <v>341</v>
      </c>
      <c r="L42">
        <v>15</v>
      </c>
      <c r="M42" s="184" t="s">
        <v>323</v>
      </c>
    </row>
    <row r="43" spans="4:16">
      <c r="D43" t="s">
        <v>272</v>
      </c>
      <c r="E43">
        <v>12</v>
      </c>
      <c r="K43" t="s">
        <v>318</v>
      </c>
      <c r="L43">
        <v>0</v>
      </c>
      <c r="M43" s="184" t="s">
        <v>323</v>
      </c>
      <c r="O43" s="4" t="s">
        <v>393</v>
      </c>
    </row>
    <row r="44" spans="4:16">
      <c r="D44" t="s">
        <v>273</v>
      </c>
      <c r="E44">
        <v>12</v>
      </c>
      <c r="K44" t="s">
        <v>343</v>
      </c>
      <c r="L44">
        <v>0</v>
      </c>
      <c r="M44" s="184" t="s">
        <v>323</v>
      </c>
      <c r="O44" t="s">
        <v>390</v>
      </c>
      <c r="P44">
        <v>3</v>
      </c>
    </row>
    <row r="45" spans="4:16">
      <c r="D45" t="s">
        <v>281</v>
      </c>
      <c r="E45">
        <v>12</v>
      </c>
      <c r="K45" t="s">
        <v>342</v>
      </c>
      <c r="L45">
        <v>0</v>
      </c>
      <c r="M45" s="184" t="s">
        <v>323</v>
      </c>
      <c r="O45" t="s">
        <v>446</v>
      </c>
      <c r="P45">
        <v>3</v>
      </c>
    </row>
    <row r="46" spans="4:16">
      <c r="D46" t="s">
        <v>274</v>
      </c>
      <c r="E46">
        <v>12</v>
      </c>
      <c r="K46" t="s">
        <v>282</v>
      </c>
      <c r="L46">
        <v>0</v>
      </c>
      <c r="M46" s="184" t="s">
        <v>323</v>
      </c>
      <c r="O46" t="s">
        <v>447</v>
      </c>
      <c r="P46">
        <v>0</v>
      </c>
    </row>
    <row r="47" spans="4:16">
      <c r="D47" t="s">
        <v>282</v>
      </c>
      <c r="E47">
        <v>0</v>
      </c>
      <c r="M47" s="184" t="s">
        <v>323</v>
      </c>
      <c r="O47" t="s">
        <v>448</v>
      </c>
      <c r="P47">
        <v>0</v>
      </c>
    </row>
    <row r="48" spans="4:16">
      <c r="K48" s="4" t="s">
        <v>345</v>
      </c>
      <c r="M48" s="184" t="s">
        <v>323</v>
      </c>
    </row>
    <row r="49" spans="4:16">
      <c r="K49" t="s">
        <v>346</v>
      </c>
      <c r="L49">
        <v>5</v>
      </c>
      <c r="M49" s="184" t="s">
        <v>323</v>
      </c>
    </row>
    <row r="50" spans="4:16" ht="15.75">
      <c r="D50" s="271" t="s">
        <v>417</v>
      </c>
      <c r="E50" s="271"/>
      <c r="F50" s="271"/>
      <c r="K50" t="s">
        <v>347</v>
      </c>
      <c r="L50">
        <v>0</v>
      </c>
      <c r="M50" s="184" t="s">
        <v>323</v>
      </c>
      <c r="O50" s="4" t="s">
        <v>380</v>
      </c>
    </row>
    <row r="51" spans="4:16">
      <c r="D51" s="4" t="s">
        <v>89</v>
      </c>
      <c r="E51" t="s">
        <v>233</v>
      </c>
      <c r="K51" t="s">
        <v>348</v>
      </c>
      <c r="L51">
        <v>0</v>
      </c>
      <c r="M51" s="184" t="s">
        <v>323</v>
      </c>
      <c r="O51" t="s">
        <v>428</v>
      </c>
      <c r="P51">
        <v>4</v>
      </c>
    </row>
    <row r="52" spans="4:16">
      <c r="D52" t="s">
        <v>418</v>
      </c>
      <c r="E52">
        <v>10</v>
      </c>
      <c r="M52" s="184" t="s">
        <v>323</v>
      </c>
      <c r="O52" t="s">
        <v>381</v>
      </c>
      <c r="P52">
        <v>4</v>
      </c>
    </row>
    <row r="53" spans="4:16">
      <c r="D53" t="s">
        <v>421</v>
      </c>
      <c r="E53">
        <v>8</v>
      </c>
      <c r="M53" s="184" t="s">
        <v>323</v>
      </c>
      <c r="O53" t="s">
        <v>382</v>
      </c>
      <c r="P53">
        <v>0</v>
      </c>
    </row>
    <row r="54" spans="4:16">
      <c r="K54" s="4" t="s">
        <v>335</v>
      </c>
      <c r="M54" s="184" t="s">
        <v>323</v>
      </c>
    </row>
    <row r="55" spans="4:16">
      <c r="D55" s="4" t="s">
        <v>81</v>
      </c>
      <c r="K55" t="s">
        <v>272</v>
      </c>
      <c r="L55">
        <v>10</v>
      </c>
      <c r="M55" s="184" t="s">
        <v>323</v>
      </c>
    </row>
    <row r="56" spans="4:16">
      <c r="D56" t="s">
        <v>309</v>
      </c>
      <c r="K56" t="s">
        <v>273</v>
      </c>
      <c r="L56">
        <v>10</v>
      </c>
      <c r="M56" s="184" t="s">
        <v>323</v>
      </c>
    </row>
    <row r="57" spans="4:16">
      <c r="D57" t="s">
        <v>419</v>
      </c>
      <c r="K57" t="s">
        <v>281</v>
      </c>
      <c r="L57">
        <v>3</v>
      </c>
      <c r="M57" s="184" t="s">
        <v>323</v>
      </c>
    </row>
    <row r="58" spans="4:16">
      <c r="K58" t="s">
        <v>274</v>
      </c>
      <c r="L58">
        <v>1</v>
      </c>
      <c r="M58" s="184" t="s">
        <v>323</v>
      </c>
    </row>
    <row r="59" spans="4:16">
      <c r="D59" t="s">
        <v>420</v>
      </c>
      <c r="K59" t="s">
        <v>282</v>
      </c>
      <c r="L59">
        <v>0</v>
      </c>
      <c r="M59" s="184" t="s">
        <v>323</v>
      </c>
    </row>
  </sheetData>
  <sheetProtection algorithmName="SHA-512" hashValue="5vPIMCreUy81hKoCdxswa2XtZy6yJZ5rQe5oInwN3odq0l1JEzV+/V0mQiNp48qsw5l89DkrdjS6wjzyZFZByQ==" saltValue="6yvhQ8wjySuQi+/XKBOyhQ==" spinCount="100000" sheet="1" objects="1" scenarios="1"/>
  <protectedRanges>
    <protectedRange sqref="A14:B14" name="Range2"/>
    <protectedRange sqref="K27:L27" name="Range2_1"/>
    <protectedRange sqref="O22:P22" name="Range2_2"/>
  </protectedRanges>
  <mergeCells count="5">
    <mergeCell ref="D50:F50"/>
    <mergeCell ref="A1:B1"/>
    <mergeCell ref="A14:B14"/>
    <mergeCell ref="D1:F1"/>
    <mergeCell ref="H1:I1"/>
  </mergeCells>
  <phoneticPr fontId="3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E18537CB-E5E1-4B85-A57A-A1BA84DFFBB6}">
  <ds:schemaRefs/>
</ds:datastoreItem>
</file>

<file path=customXml/itemProps2.xml><?xml version="1.0" encoding="utf-8"?>
<ds:datastoreItem xmlns:ds="http://schemas.openxmlformats.org/officeDocument/2006/customXml" ds:itemID="{F4727B45-DAE7-450F-AF54-11DD7A172C09}">
  <ds:schemaRefs/>
</ds:datastoreItem>
</file>

<file path=customXml/itemProps3.xml><?xml version="1.0" encoding="utf-8"?>
<ds:datastoreItem xmlns:ds="http://schemas.openxmlformats.org/officeDocument/2006/customXml" ds:itemID="{F4057F22-7731-49C0-AEA6-6B82FC02506C}">
  <ds:schemaRefs/>
</ds:datastoreItem>
</file>

<file path=customXml/itemProps4.xml><?xml version="1.0" encoding="utf-8"?>
<ds:datastoreItem xmlns:ds="http://schemas.openxmlformats.org/officeDocument/2006/customXml" ds:itemID="{42FAE09D-9664-487E-BC51-C43EB5CC136A}">
  <ds:schemaRefs/>
</ds:datastoreItem>
</file>

<file path=customXml/itemProps5.xml><?xml version="1.0" encoding="utf-8"?>
<ds:datastoreItem xmlns:ds="http://schemas.openxmlformats.org/officeDocument/2006/customXml" ds:itemID="{DFEA957A-4A15-400E-BF12-89AC7C2CC0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FORM </vt:lpstr>
      <vt:lpstr>KPIs</vt:lpstr>
      <vt:lpstr>A._Board_Composition</vt:lpstr>
      <vt:lpstr>B._Directors_Registry</vt:lpstr>
      <vt:lpstr>C._BOD_and_CS_Key_Responsibilities</vt:lpstr>
      <vt:lpstr>KPIs</vt:lpstr>
      <vt:lpstr>'FORM '!Print_Area</vt:lpstr>
      <vt:lpstr>Segment_1__The_Board</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Aminath Arshy</dc:creator>
  <cp:keywords/>
  <dc:description/>
  <cp:lastModifiedBy>Usaidh Asadhulla</cp:lastModifiedBy>
  <cp:revision/>
  <cp:lastPrinted>2025-12-21T06:55:11Z</cp:lastPrinted>
  <dcterms:created xsi:type="dcterms:W3CDTF">2022-12-13T03:23:23Z</dcterms:created>
  <dcterms:modified xsi:type="dcterms:W3CDTF">2026-05-31T09:49:30Z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2</vt:i4>
  </property>
</Properties>
</file>